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zkJzZB00jIrutpDF8Y+b+4MpqIkvjH4MgUtZJoYX7IcAIga7mnIf4w03C7ouRqpuGWzHmWqDoA/bt3WEagp6UA==" workbookSaltValue="MTI5bLn2fFMk4w89rgXj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C12" i="14"/>
  <c r="K12" i="14" s="1"/>
  <c r="AB13" i="21"/>
  <c r="BG10" i="8"/>
  <c r="B9" i="6"/>
  <c r="V9" i="16"/>
  <c r="U9" i="17"/>
  <c r="U19" i="17" s="1"/>
  <c r="BJ16" i="11"/>
  <c r="BM17" i="11"/>
  <c r="AQ10" i="21"/>
  <c r="BG12" i="11"/>
  <c r="BW10" i="20"/>
  <c r="BW12" i="20"/>
  <c r="BU11" i="17"/>
  <c r="BK17" i="11"/>
  <c r="BJ12" i="11"/>
  <c r="BM12" i="11"/>
  <c r="BF10" i="11"/>
  <c r="BM16" i="11"/>
  <c r="AL16" i="11"/>
  <c r="C16" i="6"/>
  <c r="BE9" i="13"/>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K20" i="20"/>
  <c r="AH20" i="20"/>
  <c r="Q20" i="20"/>
  <c r="Z20" i="20"/>
  <c r="J18" i="2" l="1"/>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M20" i="17"/>
  <c r="U20" i="20"/>
  <c r="AL20" i="21"/>
  <c r="AA20" i="11"/>
  <c r="N20" i="17"/>
  <c r="BQ20" i="16"/>
  <c r="N20" i="16"/>
  <c r="T20" i="17"/>
  <c r="BO20" i="16"/>
  <c r="AF20" i="16"/>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S20" i="16"/>
  <c r="BS20" i="16"/>
  <c r="H20" i="12"/>
  <c r="Y20" i="17"/>
  <c r="AM20" i="11"/>
  <c r="I20" i="17"/>
  <c r="K20" i="12"/>
  <c r="AR20" i="17"/>
  <c r="AR20" i="16"/>
  <c r="E20" i="12"/>
  <c r="AA20" i="16"/>
  <c r="AW20" i="16"/>
  <c r="AB20" i="17"/>
  <c r="K20" i="21"/>
  <c r="AU20" i="11"/>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<sst xmlns="http://schemas.openxmlformats.org/spreadsheetml/2006/main" count="2102" uniqueCount="917">
  <si>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</si>
  <si>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</si>
  <si>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</si>
  <si>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</si>
  <si>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</si>
  <si>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</si>
  <si>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</si>
  <si>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</si>
  <si>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</si>
  <si>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</si>
  <si>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</si>
  <si>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</si>
  <si>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</si>
  <si>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</si>
  <si>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</si>
  <si>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</si>
  <si>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</si>
  <si>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</si>
  <si>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</si>
  <si>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</si>
  <si>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</si>
  <si>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</si>
  <si>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</si>
  <si>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</si>
  <si>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</si>
  <si>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</si>
  <si>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</si>
  <si>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</si>
  <si>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</si>
  <si>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</si>
  <si>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</si>
  <si>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</si>
  <si>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</si>
  <si>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</si>
  <si>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</si>
  <si>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</si>
  <si>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</si>
  <si>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</si>
  <si>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</si>
  <si>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</si>
  <si>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</si>
  <si>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</si>
  <si>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</si>
  <si>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</si>
  <si>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</si>
  <si>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</si>
  <si>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</si>
  <si>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</si>
  <si>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</si>
  <si>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</si>
  <si>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</si>
  <si>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</si>
  <si>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</si>
  <si>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</si>
  <si>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</si>
  <si>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</si>
  <si>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</si>
  <si>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</si>
  <si>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</si>
  <si>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</si>
  <si>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</si>
  <si>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</si>
  <si>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</si>
  <si>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</si>
  <si>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</si>
  <si>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</si>
  <si>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</si>
  <si>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</si>
  <si>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</si>
  <si>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</si>
  <si>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</si>
  <si>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</si>
  <si>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</si>
  <si>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</si>
  <si>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</si>
  <si>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</si>
  <si>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</si>
  <si>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</si>
  <si>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</si>
  <si>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</si>
  <si>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</si>
  <si>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</si>
  <si>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</si>
  <si>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</si>
  <si>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</si>
  <si>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</si>
  <si>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</si>
  <si>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</si>
  <si>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</si>
  <si>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</si>
  <si>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</si>
  <si>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</si>
  <si>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</si>
  <si>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</si>
  <si>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</si>
  <si>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</si>
  <si>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</si>
  <si>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</si>
  <si>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</si>
  <si>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</si>
  <si>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</si>
  <si>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</si>
  <si>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</si>
  <si>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</si>
  <si>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</si>
  <si>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</si>
  <si>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</si>
  <si>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</si>
  <si>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</si>
  <si>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</si>
  <si>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</si>
  <si>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</si>
  <si>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</si>
  <si>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</si>
  <si>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</si>
  <si>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</si>
  <si>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</si>
  <si>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</si>
  <si>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</si>
  <si>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</si>
  <si>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</si>
  <si>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</si>
  <si>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</si>
  <si>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</si>
  <si>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</si>
  <si>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</si>
  <si>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</si>
  <si>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</si>
  <si>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</si>
  <si>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</si>
  <si>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</si>
  <si>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</si>
  <si>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</si>
  <si>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</si>
  <si>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</si>
  <si>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</si>
  <si>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</si>
  <si>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</si>
  <si>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</si>
  <si>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</si>
  <si>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</si>
  <si>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</si>
  <si>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</si>
  <si>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</si>
  <si>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</si>
  <si>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</si>
  <si>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</si>
  <si>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</si>
  <si>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</si>
  <si>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</si>
  <si>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</si>
  <si>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</si>
  <si>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</si>
  <si>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</si>
  <si>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</si>
  <si>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</si>
  <si>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</si>
  <si>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</si>
  <si>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</si>
  <si>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</si>
  <si>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</si>
  <si>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</si>
  <si>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</si>
  <si>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</si>
  <si>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</si>
  <si>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</si>
  <si>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</si>
  <si>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</si>
  <si>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</si>
  <si>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</si>
  <si>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</si>
  <si>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</si>
  <si>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</si>
  <si>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</si>
  <si>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</si>
  <si>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</si>
  <si>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</si>
  <si>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</si>
  <si>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</si>
  <si>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</si>
  <si>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</si>
  <si>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</si>
  <si>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</si>
  <si>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</si>
  <si>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</si>
  <si>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</si>
  <si>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</si>
  <si>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</si>
  <si>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</si>
  <si>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</si>
  <si>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</si>
  <si>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</si>
  <si>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</si>
  <si>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</si>
  <si>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</si>
  <si>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</si>
  <si>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</si>
  <si>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</si>
  <si>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</si>
  <si>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</si>
  <si>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</si>
  <si>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</si>
  <si>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</si>
  <si>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</si>
  <si>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</si>
  <si>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</si>
  <si>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</si>
  <si>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</si>
  <si>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</si>
  <si>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</si>
  <si>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</si>
  <si>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</si>
  <si>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</si>
  <si>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</si>
  <si>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</si>
  <si>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</si>
  <si>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</si>
  <si>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</si>
  <si>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</si>
  <si>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</si>
  <si>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</si>
  <si>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</si>
  <si>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</si>
  <si>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</si>
  <si>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</si>
  <si>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</si>
  <si>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</si>
  <si>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</si>
  <si>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</si>
  <si>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</si>
  <si>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</si>
  <si>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</si>
  <si>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</si>
  <si>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</si>
  <si>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</si>
  <si>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</si>
  <si>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</si>
  <si>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</si>
  <si>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</si>
  <si>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</si>
  <si>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</si>
  <si>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</si>
  <si>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</si>
  <si>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</si>
  <si>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</si>
  <si>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</si>
  <si>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</si>
  <si>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</si>
  <si>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</si>
  <si>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</si>
  <si>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</si>
  <si>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</si>
  <si>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</si>
  <si>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</si>
  <si>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</si>
  <si>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</si>
  <si>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</si>
  <si>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</si>
  <si>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</si>
  <si>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</si>
  <si>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</si>
  <si>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</si>
  <si>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</si>
  <si>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</si>
  <si>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</si>
  <si>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</si>
  <si>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</si>
  <si>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</si>
  <si>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</si>
  <si>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</si>
  <si>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</si>
  <si>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</si>
  <si>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</si>
  <si>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</si>
  <si>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</si>
  <si>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</si>
  <si>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</si>
  <si>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</si>
  <si>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</si>
  <si>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</si>
  <si>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</si>
  <si>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</si>
  <si>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</si>
  <si>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</si>
  <si>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</si>
  <si>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</si>
  <si>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</si>
  <si>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</si>
  <si>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</si>
  <si>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</si>
  <si>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</si>
  <si>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</si>
  <si>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</si>
  <si>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</si>
  <si>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</si>
  <si>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</si>
  <si>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</si>
  <si>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</si>
  <si>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</si>
  <si>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</si>
  <si>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</si>
  <si>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</si>
  <si>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</si>
  <si>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</si>
  <si>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</si>
  <si>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</si>
  <si>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</si>
  <si>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</si>
  <si>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</si>
  <si>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</si>
  <si>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</si>
  <si>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</si>
  <si>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</si>
  <si>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</si>
  <si>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</si>
  <si>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</si>
  <si>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</si>
  <si>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</si>
  <si>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</si>
  <si>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</si>
  <si>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</si>
  <si>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</si>
  <si>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</si>
  <si>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</si>
  <si>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</si>
  <si>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</si>
  <si>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</si>
  <si>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</si>
  <si>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</si>
  <si>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</si>
  <si>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</si>
  <si>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</si>
  <si>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</si>
  <si>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</si>
  <si>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</si>
  <si>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</si>
  <si>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</si>
  <si>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</si>
  <si>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</si>
  <si>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</si>
  <si>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</si>
  <si>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</si>
  <si>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</si>
  <si>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</si>
  <si>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</si>
  <si>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</si>
  <si>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</si>
  <si>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</si>
  <si>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</si>
  <si>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</si>
  <si>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</si>
  <si>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</si>
  <si>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</si>
  <si>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</si>
  <si>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</si>
  <si>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</si>
  <si>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</si>
  <si>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</si>
  <si>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</si>
  <si>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</si>
  <si>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</si>
  <si>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</si>
  <si>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</si>
  <si>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</si>
  <si>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</si>
  <si>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</si>
  <si>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</si>
  <si>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</si>
  <si>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</si>
  <si>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</si>
  <si>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</si>
  <si>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</si>
  <si>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</si>
  <si>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</si>
  <si>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</si>
  <si>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</si>
  <si>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</si>
  <si>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</si>
  <si>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</si>
  <si>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</si>
  <si>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</si>
  <si>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</si>
  <si>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</si>
  <si>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</si>
  <si>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</si>
  <si>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</si>
  <si>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</si>
  <si>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</si>
  <si>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</si>
  <si>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</si>
  <si>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</si>
  <si>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</si>
  <si>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</si>
  <si>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</si>
  <si>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</si>
  <si>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</si>
  <si>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</si>
  <si>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</si>
  <si>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</si>
  <si>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</si>
  <si>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</si>
  <si>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</si>
  <si>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</si>
  <si>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</si>
  <si>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</si>
  <si>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</si>
  <si>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</si>
  <si>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</si>
  <si>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</si>
  <si>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</si>
  <si>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</si>
  <si>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</si>
  <si>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</si>
  <si>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</si>
  <si>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</si>
  <si>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</si>
  <si>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</si>
  <si>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</si>
  <si>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</si>
  <si>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</si>
  <si>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</si>
  <si>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</si>
  <si>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</si>
  <si>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</si>
  <si>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</si>
  <si>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</si>
  <si>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</si>
  <si>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</si>
  <si>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</si>
  <si>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</si>
  <si>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</si>
  <si>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</si>
  <si>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</si>
  <si>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</si>
  <si>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</si>
  <si>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</si>
  <si>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</si>
  <si>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</si>
  <si>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</si>
  <si>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</si>
  <si>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</si>
  <si>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</si>
  <si>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</si>
  <si>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</si>
  <si>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</si>
  <si>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</si>
  <si>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</si>
  <si>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</si>
  <si>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</si>
  <si>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</si>
  <si>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</si>
  <si>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</si>
  <si>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</si>
  <si>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</si>
  <si>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</si>
  <si>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</si>
  <si>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</si>
  <si>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</si>
  <si>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</si>
  <si>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</si>
  <si>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</si>
  <si>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</si>
  <si>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</si>
  <si>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</si>
  <si>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</si>
  <si>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</si>
  <si>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</si>
  <si>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</si>
  <si>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</si>
  <si>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</si>
  <si>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</si>
  <si>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</si>
  <si>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</si>
  <si>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</si>
  <si>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</si>
  <si>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</si>
  <si>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</si>
  <si>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</si>
  <si>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</si>
  <si>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</si>
  <si>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</si>
  <si>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</si>
  <si>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</si>
  <si>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</si>
  <si>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</si>
  <si>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</si>
  <si>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</si>
  <si>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</si>
  <si>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</si>
  <si>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</si>
  <si>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</si>
  <si>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</si>
  <si>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</si>
  <si>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</si>
  <si>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</si>
  <si>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</si>
  <si>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</si>
  <si>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</si>
  <si>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</si>
  <si>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</si>
  <si>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</si>
  <si>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</si>
  <si>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</si>
  <si>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</si>
  <si>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</si>
  <si>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</si>
  <si>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</si>
  <si>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</si>
  <si>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</si>
  <si>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</si>
  <si>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</si>
  <si>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</si>
  <si>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</si>
  <si>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</si>
  <si>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</si>
  <si>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</si>
  <si>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</si>
  <si>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</si>
  <si>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</si>
  <si>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</si>
  <si>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</si>
  <si>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</si>
  <si>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</si>
  <si>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</si>
  <si>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</si>
  <si>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</si>
  <si>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</si>
  <si>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</si>
  <si>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</si>
  <si>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</si>
  <si>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</si>
  <si>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</si>
  <si>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</si>
  <si>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</si>
  <si>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</si>
  <si>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</si>
  <si>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</si>
  <si>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</si>
  <si>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</si>
  <si>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</si>
  <si>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</si>
  <si>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</si>
  <si>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</si>
  <si>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</si>
  <si>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</si>
  <si>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</si>
  <si>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</si>
  <si>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</si>
  <si>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</si>
  <si>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</si>
  <si>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</si>
  <si>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</si>
  <si>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</si>
  <si>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</si>
  <si>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</si>
  <si>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</si>
  <si>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</si>
  <si>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</si>
  <si>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</si>
  <si>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</si>
  <si>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</si>
  <si>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</si>
  <si>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</si>
  <si>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</si>
  <si>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</si>
  <si>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</si>
  <si>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</si>
  <si>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</si>
  <si>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</si>
  <si>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</si>
  <si>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</si>
  <si>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</si>
  <si>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</si>
  <si>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</si>
  <si>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</si>
  <si>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</si>
  <si>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</si>
  <si>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</si>
  <si>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</si>
  <si>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</si>
  <si>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</si>
  <si>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</si>
  <si>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</si>
  <si>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</si>
  <si>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</si>
  <si>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</si>
  <si>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</si>
  <si>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</si>
  <si>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</si>
  <si>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</si>
  <si>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</si>
  <si>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</si>
  <si>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</si>
  <si>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</si>
  <si>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</si>
  <si>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</si>
  <si>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</si>
  <si>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</si>
  <si>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</si>
  <si>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</si>
  <si>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</si>
  <si>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</si>
  <si>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</si>
  <si>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</si>
  <si>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</si>
  <si>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</si>
  <si>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</si>
  <si>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</si>
  <si>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</si>
  <si>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</si>
  <si>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</si>
  <si>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</si>
  <si>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</si>
  <si>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</si>
  <si>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</si>
  <si>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</si>
  <si>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</si>
  <si>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</si>
  <si>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</si>
  <si>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</si>
  <si>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</si>
  <si>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</si>
  <si>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</si>
  <si>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</si>
  <si>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</si>
  <si>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</si>
  <si>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</si>
  <si>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</si>
  <si>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</si>
  <si>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</si>
  <si>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</si>
  <si>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</si>
  <si>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</si>
  <si>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</si>
  <si>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</si>
  <si>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</si>
  <si>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</si>
  <si>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</si>
  <si>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</si>
  <si>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</si>
  <si>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</si>
  <si>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</si>
  <si>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</si>
  <si>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</si>
  <si>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</si>
  <si>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</si>
  <si>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</si>
  <si>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</si>
  <si>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</si>
  <si>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</si>
  <si>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</si>
  <si>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</si>
  <si>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</si>
  <si>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</si>
  <si>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</si>
  <si>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</si>
  <si>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</si>
  <si>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</si>
  <si>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</si>
  <si>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</si>
  <si>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</si>
  <si>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</si>
  <si>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</si>
  <si>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</si>
  <si>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</si>
  <si>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</si>
  <si>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</si>
  <si>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</si>
  <si>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</si>
  <si>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</si>
  <si>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</si>
  <si>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</si>
  <si>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</si>
  <si>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</si>
  <si>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</si>
  <si>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</si>
  <si>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</si>
  <si>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</si>
  <si>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</si>
  <si>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</si>
  <si>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</si>
  <si>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</si>
  <si>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</si>
  <si>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</si>
  <si>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</si>
  <si>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</si>
  <si>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</si>
  <si>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</si>
  <si>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</si>
  <si>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</si>
  <si>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</si>
  <si>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</si>
  <si>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</si>
  <si>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</si>
  <si>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</si>
  <si>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</si>
  <si>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</si>
  <si>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</si>
  <si>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</si>
  <si>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</si>
  <si>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</si>
  <si>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</si>
  <si>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</si>
  <si>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</si>
  <si>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</si>
  <si>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</si>
  <si>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</si>
  <si>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</si>
  <si>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</si>
  <si>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</si>
  <si>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</si>
  <si>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</si>
  <si>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</si>
  <si>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</si>
  <si>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</si>
  <si>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</si>
  <si>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</si>
  <si>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</si>
  <si>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</si>
  <si>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</si>
  <si>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</si>
  <si>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</si>
  <si>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</si>
  <si>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</si>
  <si>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</si>
  <si>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</si>
  <si>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</si>
  <si>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</si>
  <si>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</si>
  <si>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</si>
  <si>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</si>
  <si>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</si>
  <si>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</si>
  <si>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</si>
  <si>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</si>
  <si>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</si>
  <si>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</si>
  <si>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</si>
  <si>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</si>
  <si>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</si>
  <si>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</si>
  <si>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</si>
  <si>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</si>
  <si>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</si>
  <si>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</si>
  <si>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</si>
  <si>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</si>
  <si>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</si>
  <si>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</si>
  <si>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</si>
  <si>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</si>
  <si>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</si>
  <si>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</si>
  <si>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</si>
  <si>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</si>
  <si>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</si>
  <si>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</si>
  <si>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</si>
  <si>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</si>
  <si>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</si>
  <si>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</si>
  <si>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</si>
  <si>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</si>
  <si>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</si>
  <si>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</si>
  <si>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</si>
  <si>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</si>
  <si>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</si>
  <si>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</si>
  <si>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</si>
  <si>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</si>
  <si>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</si>
  <si>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</si>
  <si>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</si>
  <si>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</si>
  <si>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</si>
  <si>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</si>
  <si>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</si>
  <si>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</si>
  <si>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</si>
  <si>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</si>
  <si>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</si>
  <si>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</si>
  <si>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</si>
  <si>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</si>
  <si>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</si>
  <si>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</si>
  <si>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</si>
  <si>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</si>
  <si>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</si>
  <si>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</si>
  <si>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</si>
  <si>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</si>
  <si>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</si>
  <si>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</si>
  <si>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</si>
  <si>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</si>
  <si>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</si>
  <si>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</si>
  <si>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</si>
  <si>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</si>
  <si>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</si>
  <si>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</si>
  <si>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</si>
  <si>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</si>
  <si>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</si>
  <si>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</si>
  <si>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</si>
  <si>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</si>
  <si>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</si>
  <si>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</si>
  <si>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</si>
  <si>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</si>
  <si>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</si>
  <si>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</si>
  <si>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</si>
  <si>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</si>
  <si>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</si>
  <si>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</si>
  <si>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</si>
  <si>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</si>
  <si>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</si>
  <si>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</si>
  <si>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</si>
  <si>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</si>
  <si>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</si>
  <si>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</si>
  <si>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</si>
  <si>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</si>
  <si>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</si>
  <si>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</si>
  <si>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</si>
  <si>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</si>
  <si>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</si>
  <si>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</si>
  <si>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</si>
  <si>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</si>
  <si>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</si>
  <si>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</si>
  <si>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</si>
  <si>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</si>
  <si>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</si>
  <si>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</si>
  <si>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</si>
  <si>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</si>
  <si>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</si>
  <si>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</si>
  <si>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</si>
  <si>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</si>
  <si>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</si>
  <si>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</si>
  <si>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</si>
  <si>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</si>
  <si>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</si>
  <si>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</si>
  <si>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</si>
  <si>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</si>
  <si>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</si>
  <si>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</si>
  <si>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</si>
  <si>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</si>
  <si>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</si>
  <si>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</si>
  <si>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</si>
  <si>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</si>
  <si>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</si>
  <si>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</si>
  <si>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</si>
  <si>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</si>
  <si>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</si>
  <si>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</si>
  <si>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</si>
  <si>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</si>
  <si>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</si>
  <si>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</si>
  <si>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</si>
  <si>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</si>
  <si>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</si>
  <si>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</si>
  <si>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</si>
  <si>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</si>
  <si>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</si>
  <si>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</si>
  <si>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</si>
  <si>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</si>
  <si>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</si>
  <si>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</si>
  <si>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</si>
  <si>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</si>
  <si>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</si>
  <si>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</si>
  <si>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</si>
  <si>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</si>
  <si>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</si>
  <si>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</si>
  <si>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</si>
  <si>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</si>
  <si>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</si>
  <si>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</si>
  <si>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</si>
  <si>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</si>
  <si>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</si>
  <si>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</si>
  <si>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</si>
  <si>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</si>
  <si>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</si>
  <si>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</si>
  <si>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</si>
  <si>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</si>
  <si>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</si>
  <si>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</si>
  <si>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</si>
  <si>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</si>
  <si>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</si>
  <si>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</si>
  <si>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</si>
  <si>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ALCORCON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</si>
</sst>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vOzRKIdTssWBzVb059I+OummRHsgi8Rj+3FQamCMtt0u3XJ6WOy6ltucW3coRDTOZjZ0g6sNpL2g0dL3Ya4Vw==" saltValue="huNfvy3a/cxjO8chjzrU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50</v>
      </c>
      <c r="D10" s="225">
        <f>IF(ISNUMBER(Datos!I10),Datos!I10," - ")</f>
        <v>50</v>
      </c>
      <c r="E10" s="226">
        <f>IF(ISNUMBER(Datos!J10),Datos!J10," - ")</f>
        <v>28</v>
      </c>
      <c r="F10" s="226">
        <f>IF(ISNUMBER(Datos!K10),Datos!K10," - ")</f>
        <v>26</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0.04</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22.387665198237883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50</v>
      </c>
      <c r="D13" s="1049">
        <f>SUBTOTAL(9,D9:D12)</f>
        <v>50</v>
      </c>
      <c r="E13" s="1050">
        <f>SUBTOTAL(9,E9:E12)</f>
        <v>28</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2111</v>
      </c>
      <c r="D16" s="225">
        <f>IF(ISNUMBER(IF(D_I="SI",Datos!I16,Datos!I16+Datos!AC16)),IF(D_I="SI",Datos!I16,Datos!I16+Datos!AC16)," - ")</f>
        <v>2106</v>
      </c>
      <c r="E16" s="226">
        <f>IF(ISNUMBER(IF(D_I="SI",Datos!J16,Datos!J16+Datos!AD16)),IF(D_I="SI",Datos!J16,Datos!J16+Datos!AD16)," - ")</f>
        <v>2132</v>
      </c>
      <c r="F16" s="226">
        <f>IF(ISNUMBER(IF(D_I="SI",Datos!K16,Datos!K16+Datos!AE16)),IF(D_I="SI",Datos!K16,Datos!K16+Datos!AE16)," - ")</f>
        <v>2155</v>
      </c>
      <c r="G16" s="1034" t="str">
        <f>IF(Datos!E16&lt;&gt;"",Datos!E16,Datos!D16)</f>
        <v>04</v>
      </c>
      <c r="H16" s="227">
        <f>IF(ISNUMBER(IF(D_I="SI",Datos!L16,Datos!L16+Datos!AF16)),IF(D_I="SI",Datos!L16,Datos!L16+Datos!AF16)," - ")</f>
        <v>2088</v>
      </c>
      <c r="I16" s="1044" t="str">
        <f>IF(ISNUMBER(Datos!AS16/Datos!BM16),Datos!AS16/Datos!BM16," - ")</f>
        <v xml:space="preserve"> - </v>
      </c>
      <c r="J16" s="1045">
        <f>IF(ISNUMBER(Datos!BY16/Datos!CN16),Datos!BY16/Datos!CN16," - ")</f>
        <v>0</v>
      </c>
      <c r="K16" s="230">
        <f t="shared" si="3"/>
        <v>-1.0895310279488394E-2</v>
      </c>
      <c r="L16" s="1025">
        <f>IF(ISNUMBER(NºAsuntos!I16/NºAsuntos!G16),(NºAsuntos!I16/NºAsuntos!G16)*11," - ")</f>
        <v>10.65800464037123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145</v>
      </c>
      <c r="D17" s="225">
        <f>IF(ISNUMBER(IF(D_I="SI",Datos!I17,Datos!I17+Datos!AC17)),IF(D_I="SI",Datos!I17,Datos!I17+Datos!AC17)," - ")</f>
        <v>143</v>
      </c>
      <c r="E17" s="226">
        <f>IF(ISNUMBER(IF(D_I="SI",Datos!J17,Datos!J17+Datos!AD17)),IF(D_I="SI",Datos!J17,Datos!J17+Datos!AD17)," - ")</f>
        <v>227</v>
      </c>
      <c r="F17" s="226">
        <f>IF(ISNUMBER(IF(D_I="SI",Datos!K17,Datos!K17+Datos!AE17)),IF(D_I="SI",Datos!K17,Datos!K17+Datos!AE17)," - ")</f>
        <v>211</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0.1103448275862069</v>
      </c>
      <c r="L17" s="1025">
        <f>IF(ISNUMBER(NºAsuntos!I17/NºAsuntos!G17),(NºAsuntos!I17/NºAsuntos!G17)*11," - ")</f>
        <v>8.3933649289099534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2256</v>
      </c>
      <c r="D18" s="1049">
        <f>SUBTOTAL(9,D15:D17)</f>
        <v>2249</v>
      </c>
      <c r="E18" s="1050">
        <f>SUBTOTAL(9,E15:E17)</f>
        <v>2359</v>
      </c>
      <c r="F18" s="1050">
        <f>SUBTOTAL(9,F15:F17)</f>
        <v>2366</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2306</v>
      </c>
      <c r="D19" s="1071">
        <f>SUBTOTAL(9,D9:D18)</f>
        <v>2299</v>
      </c>
      <c r="E19" s="1072">
        <f>SUBTOTAL(9,E9:E18)</f>
        <v>2387</v>
      </c>
      <c r="F19" s="1072">
        <f>SUBTOTAL(9,F9:F18)</f>
        <v>2392</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8ARnYO7799CjG8uRW5u1aVI6fy3cbp6T4rcthUQhdsR9rCzMZqVjBypa6UM/AoUSwX2Vn08ZTT50/cmmDyg==" saltValue="Uw5SYBs/wZVIgBGNioJO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ZSfhGsLZPzxk0uV1lYv7pFhFj27gMNOVHtZ+sJPLgE9JIE8shTIo0yZePhomntZE9nOMCiUyItoSJGQdm7T0A==" saltValue="Mbqk7qhRaeX2FIBcDHVW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50</v>
      </c>
      <c r="J10" s="181">
        <v>28</v>
      </c>
      <c r="K10" s="181">
        <v>26</v>
      </c>
      <c r="L10" s="181">
        <v>52</v>
      </c>
      <c r="M10" s="181">
        <v>9</v>
      </c>
      <c r="N10" s="181">
        <v>9</v>
      </c>
      <c r="O10" s="181">
        <v>3</v>
      </c>
      <c r="P10" s="181">
        <v>4</v>
      </c>
      <c r="Q10" s="181">
        <v>8</v>
      </c>
      <c r="R10" s="181">
        <v>57</v>
      </c>
      <c r="S10" s="181">
        <v>48</v>
      </c>
      <c r="T10" s="181">
        <v>17</v>
      </c>
      <c r="U10" s="181">
        <v>36</v>
      </c>
      <c r="V10" s="181">
        <v>29</v>
      </c>
      <c r="W10" s="181">
        <v>18</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48</v>
      </c>
      <c r="AZ10" s="129">
        <f t="shared" si="0"/>
        <v>17</v>
      </c>
      <c r="BA10" s="129">
        <f t="shared" si="0"/>
        <v>36</v>
      </c>
      <c r="BB10" s="129">
        <f t="shared" si="0"/>
        <v>29</v>
      </c>
      <c r="BC10" s="125">
        <f t="shared" si="0"/>
        <v>18</v>
      </c>
      <c r="BD10" s="126">
        <f>IF(ISNUMBER(BA10/AZ10),BA10/AZ10," - ")</f>
        <v>2.1176470588235294</v>
      </c>
      <c r="BE10" s="127">
        <f>IF(ISNUMBER(BB10/BA10),BB10/BA10, " - ")</f>
        <v>0.80555555555555558</v>
      </c>
      <c r="BF10" s="127">
        <f>IF(ISNUMBER(BC10/BA10),BC10/BA10, " - ")</f>
        <v>0.5</v>
      </c>
      <c r="BG10" s="196">
        <f>IF(ISNUMBER((AY10+AZ10)/BA10),(AY10+AZ10)/BA10," - ")</f>
        <v>1.8055555555555556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4016</v>
      </c>
      <c r="J12" s="183">
        <v>2534</v>
      </c>
      <c r="K12" s="183">
        <v>2081</v>
      </c>
      <c r="L12" s="183">
        <v>4482</v>
      </c>
      <c r="M12" s="183">
        <v>410</v>
      </c>
      <c r="N12" s="183">
        <v>1220</v>
      </c>
      <c r="O12" s="181">
        <v>774</v>
      </c>
      <c r="P12" s="183">
        <v>482</v>
      </c>
      <c r="Q12" s="183">
        <v>494</v>
      </c>
      <c r="R12" s="183">
        <v>6234</v>
      </c>
      <c r="S12" s="183">
        <v>3158</v>
      </c>
      <c r="T12" s="183">
        <v>1840</v>
      </c>
      <c r="U12" s="183">
        <v>1678</v>
      </c>
      <c r="V12" s="183">
        <v>3440</v>
      </c>
      <c r="W12" s="183">
        <v>337</v>
      </c>
      <c r="X12" s="189">
        <v>976</v>
      </c>
      <c r="Y12" s="191">
        <v>149</v>
      </c>
      <c r="Z12" s="181">
        <v>178</v>
      </c>
      <c r="AA12" s="181">
        <v>189</v>
      </c>
      <c r="AB12" s="181">
        <v>138</v>
      </c>
      <c r="AC12" s="183">
        <v>0</v>
      </c>
      <c r="AD12" s="183">
        <v>0</v>
      </c>
      <c r="AE12" s="183">
        <v>0</v>
      </c>
      <c r="AF12" s="189">
        <v>0</v>
      </c>
      <c r="AG12" s="202">
        <v>207</v>
      </c>
      <c r="AH12" s="183">
        <v>163</v>
      </c>
      <c r="AI12" s="183">
        <v>199</v>
      </c>
      <c r="AJ12" s="203">
        <v>171</v>
      </c>
      <c r="AK12" s="182">
        <v>0</v>
      </c>
      <c r="AL12" s="183">
        <v>0</v>
      </c>
      <c r="AM12" s="183">
        <v>0</v>
      </c>
      <c r="AN12" s="189">
        <v>0</v>
      </c>
      <c r="AO12" s="259">
        <v>7</v>
      </c>
      <c r="AP12" s="155">
        <v>7</v>
      </c>
      <c r="AQ12" s="155">
        <v>7</v>
      </c>
      <c r="AR12" s="154">
        <v>7</v>
      </c>
      <c r="AS12" s="340" t="s">
        <v>802</v>
      </c>
      <c r="AT12" s="203"/>
      <c r="AU12" s="202"/>
      <c r="AV12" s="203"/>
      <c r="AW12" s="202"/>
      <c r="AX12" s="203"/>
      <c r="AY12" s="126">
        <f t="shared" si="1"/>
        <v>3365</v>
      </c>
      <c r="AZ12" s="127">
        <f t="shared" si="1"/>
        <v>2003</v>
      </c>
      <c r="BA12" s="127">
        <f t="shared" si="1"/>
        <v>1877</v>
      </c>
      <c r="BB12" s="127">
        <f t="shared" si="1"/>
        <v>3611</v>
      </c>
      <c r="BC12" s="125">
        <f>IF(ISNUMBER(X12),X12," - ")</f>
        <v>976</v>
      </c>
      <c r="BD12" s="126">
        <f t="shared" si="2"/>
        <v>0.93709435846230649</v>
      </c>
      <c r="BE12" s="127">
        <f t="shared" si="3"/>
        <v>1.9238145977623868</v>
      </c>
      <c r="BF12" s="127">
        <f t="shared" si="4"/>
        <v>0.51997868939797554</v>
      </c>
      <c r="BG12" s="196">
        <f t="shared" si="5"/>
        <v>2.8598827916888654</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4066</v>
      </c>
      <c r="J13" s="184">
        <f t="shared" si="6"/>
        <v>2562</v>
      </c>
      <c r="K13" s="184">
        <f t="shared" si="6"/>
        <v>2107</v>
      </c>
      <c r="L13" s="184">
        <f t="shared" si="6"/>
        <v>4534</v>
      </c>
      <c r="M13" s="184">
        <f t="shared" si="6"/>
        <v>419</v>
      </c>
      <c r="N13" s="184">
        <f t="shared" si="6"/>
        <v>1229</v>
      </c>
      <c r="O13" s="184">
        <f t="shared" si="6"/>
        <v>777</v>
      </c>
      <c r="P13" s="184">
        <f t="shared" si="6"/>
        <v>486</v>
      </c>
      <c r="Q13" s="184">
        <f t="shared" si="6"/>
        <v>502</v>
      </c>
      <c r="R13" s="184">
        <f t="shared" si="6"/>
        <v>6291</v>
      </c>
      <c r="S13" s="184">
        <f t="shared" si="6"/>
        <v>3206</v>
      </c>
      <c r="T13" s="184">
        <f t="shared" si="6"/>
        <v>1857</v>
      </c>
      <c r="U13" s="184">
        <f t="shared" si="6"/>
        <v>1714</v>
      </c>
      <c r="V13" s="184">
        <f t="shared" si="6"/>
        <v>3469</v>
      </c>
      <c r="W13" s="184">
        <f t="shared" si="6"/>
        <v>355</v>
      </c>
      <c r="X13" s="184">
        <f t="shared" si="6"/>
        <v>984</v>
      </c>
      <c r="Y13" s="184">
        <f t="shared" si="6"/>
        <v>149</v>
      </c>
      <c r="Z13" s="184">
        <f t="shared" si="6"/>
        <v>178</v>
      </c>
      <c r="AA13" s="184">
        <f t="shared" si="6"/>
        <v>189</v>
      </c>
      <c r="AB13" s="184">
        <f t="shared" si="6"/>
        <v>138</v>
      </c>
      <c r="AC13" s="184">
        <f t="shared" si="6"/>
        <v>0</v>
      </c>
      <c r="AD13" s="184">
        <f t="shared" si="6"/>
        <v>0</v>
      </c>
      <c r="AE13" s="184">
        <f t="shared" si="6"/>
        <v>0</v>
      </c>
      <c r="AF13" s="184">
        <f>SUBTOTAL(9,AF9:AF12)</f>
        <v>0</v>
      </c>
      <c r="AG13" s="184">
        <f t="shared" ref="AG13:AT13" si="7">SUBTOTAL(9,AG8:AG12)</f>
        <v>207</v>
      </c>
      <c r="AH13" s="184">
        <f t="shared" si="7"/>
        <v>163</v>
      </c>
      <c r="AI13" s="184">
        <f t="shared" si="7"/>
        <v>199</v>
      </c>
      <c r="AJ13" s="184">
        <f t="shared" si="7"/>
        <v>171</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3413</v>
      </c>
      <c r="AZ13" s="184">
        <f>SUBTOTAL(9,AZ8:AZ12)</f>
        <v>2020</v>
      </c>
      <c r="BA13" s="184">
        <f>SUBTOTAL(9,BA8:BA12)</f>
        <v>1913</v>
      </c>
      <c r="BB13" s="184">
        <f>SUBTOTAL(9,BB8:BB12)</f>
        <v>3640</v>
      </c>
      <c r="BC13" s="184">
        <f>SUBTOTAL(9,BC8:BC12)</f>
        <v>994</v>
      </c>
      <c r="BD13" s="205">
        <f>IF(ISNUMBER(BA13/AZ13),BA13/AZ13," - ")</f>
        <v>0.94702970297029698</v>
      </c>
      <c r="BE13" s="206">
        <f>IF(ISNUMBER(BB13/BA13),BB13/BA13, " - ")</f>
        <v>1.9027705175117617</v>
      </c>
      <c r="BF13" s="206">
        <f>IF(ISNUMBER(BC13/BA13),BC13/BA13, " - ")</f>
        <v>0.5196027182435965</v>
      </c>
      <c r="BG13" s="207">
        <f>IF(ISNUMBER((AY13+AZ13)/BA13),(AY13+AZ13)/BA13," - ")</f>
        <v>2.840041819132253</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2106</v>
      </c>
      <c r="J16" s="183">
        <v>2132</v>
      </c>
      <c r="K16" s="183">
        <v>2155</v>
      </c>
      <c r="L16" s="183">
        <v>2088</v>
      </c>
      <c r="M16" s="183">
        <v>360</v>
      </c>
      <c r="N16" s="183">
        <v>1231</v>
      </c>
      <c r="O16" s="181">
        <v>68</v>
      </c>
      <c r="P16" s="183">
        <v>216</v>
      </c>
      <c r="Q16" s="183">
        <v>185</v>
      </c>
      <c r="R16" s="183">
        <v>637</v>
      </c>
      <c r="S16" s="183">
        <v>1546</v>
      </c>
      <c r="T16" s="183">
        <v>2053</v>
      </c>
      <c r="U16" s="183">
        <v>1956</v>
      </c>
      <c r="V16" s="183">
        <v>1702</v>
      </c>
      <c r="W16" s="183">
        <v>337</v>
      </c>
      <c r="X16" s="189">
        <v>1136</v>
      </c>
      <c r="Y16" s="202">
        <v>0</v>
      </c>
      <c r="Z16" s="183">
        <v>0</v>
      </c>
      <c r="AA16" s="183">
        <v>0</v>
      </c>
      <c r="AB16" s="183">
        <v>0</v>
      </c>
      <c r="AC16" s="183">
        <v>2</v>
      </c>
      <c r="AD16" s="183">
        <v>95</v>
      </c>
      <c r="AE16" s="183">
        <v>95</v>
      </c>
      <c r="AF16" s="189">
        <v>2</v>
      </c>
      <c r="AG16" s="202">
        <v>0</v>
      </c>
      <c r="AH16" s="183">
        <v>0</v>
      </c>
      <c r="AI16" s="183">
        <v>0</v>
      </c>
      <c r="AJ16" s="203">
        <v>0</v>
      </c>
      <c r="AK16" s="182">
        <v>6</v>
      </c>
      <c r="AL16" s="183">
        <v>128</v>
      </c>
      <c r="AM16" s="183">
        <v>130</v>
      </c>
      <c r="AN16" s="189">
        <v>4</v>
      </c>
      <c r="AO16" s="259">
        <v>7</v>
      </c>
      <c r="AP16" s="155">
        <v>7</v>
      </c>
      <c r="AQ16" s="155">
        <v>7</v>
      </c>
      <c r="AR16" s="155">
        <v>7</v>
      </c>
      <c r="AS16" s="340" t="s">
        <v>487</v>
      </c>
      <c r="AT16" s="203"/>
      <c r="AU16" s="202"/>
      <c r="AV16" s="203"/>
      <c r="AW16" s="202"/>
      <c r="AX16" s="203"/>
      <c r="AY16" s="126">
        <f t="shared" si="9"/>
        <v>1546</v>
      </c>
      <c r="AZ16" s="127">
        <f t="shared" si="9"/>
        <v>2053</v>
      </c>
      <c r="BA16" s="127">
        <f t="shared" si="9"/>
        <v>1956</v>
      </c>
      <c r="BB16" s="127">
        <f t="shared" si="9"/>
        <v>1702</v>
      </c>
      <c r="BC16" s="125">
        <f>IF(ISNUMBER(W16),W16," - ")</f>
        <v>337</v>
      </c>
      <c r="BD16" s="126">
        <f t="shared" ref="BD16" si="11">IF(ISNUMBER(BA16/AZ16),BA16/AZ16," - ")</f>
        <v>0.95275207014125673</v>
      </c>
      <c r="BE16" s="127">
        <f t="shared" ref="BE16" si="12">IF(ISNUMBER(BB16/BA16),BB16/BA16, " - ")</f>
        <v>0.87014314928425363</v>
      </c>
      <c r="BF16" s="127">
        <f t="shared" ref="BF16" si="13">IF(ISNUMBER(BC16/BA16),BC16/BA16, " - ")</f>
        <v>0.17229038854805726</v>
      </c>
      <c r="BG16" s="196">
        <f t="shared" si="10"/>
        <v>1.8399795501022496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227</v>
      </c>
      <c r="K17" s="183">
        <v>211</v>
      </c>
      <c r="L17" s="183">
        <v>161</v>
      </c>
      <c r="M17" s="183">
        <v>8</v>
      </c>
      <c r="N17" s="183">
        <v>99</v>
      </c>
      <c r="O17" s="183">
        <v>0</v>
      </c>
      <c r="P17" s="183">
        <v>1</v>
      </c>
      <c r="Q17" s="183">
        <v>1</v>
      </c>
      <c r="R17" s="183">
        <v>6</v>
      </c>
      <c r="S17" s="183">
        <v>123</v>
      </c>
      <c r="T17" s="183">
        <v>192</v>
      </c>
      <c r="U17" s="183">
        <v>211</v>
      </c>
      <c r="V17" s="183">
        <v>108</v>
      </c>
      <c r="W17" s="183">
        <v>10</v>
      </c>
      <c r="X17" s="189">
        <v>100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123</v>
      </c>
      <c r="AZ17" s="129">
        <f t="shared" si="14"/>
        <v>192</v>
      </c>
      <c r="BA17" s="129">
        <f t="shared" si="14"/>
        <v>211</v>
      </c>
      <c r="BB17" s="129">
        <f t="shared" si="14"/>
        <v>108</v>
      </c>
      <c r="BC17" s="125">
        <f>IF(ISNUMBER(W17),W17," - ")</f>
        <v>10</v>
      </c>
      <c r="BD17" s="126">
        <f>IF(ISNUMBER(BA17/AZ17),BA17/AZ17," - ")</f>
        <v>1.0989583333333333</v>
      </c>
      <c r="BE17" s="127">
        <f>IF(ISNUMBER(BB17/BA17),BB17/BA17, " - ")</f>
        <v>0.51184834123222744</v>
      </c>
      <c r="BF17" s="127">
        <f>IF(ISNUMBER(BC17/BA17),BC17/BA17, " - ")</f>
        <v>4.7393364928909949E-2</v>
      </c>
      <c r="BG17" s="196">
        <f>IF(ISNUMBER((AY17+AZ17)/BA17),(AY17+AZ17)/BA17," - ")</f>
        <v>1.4928909952606635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2249</v>
      </c>
      <c r="J18" s="184">
        <f t="shared" si="15"/>
        <v>2359</v>
      </c>
      <c r="K18" s="184">
        <f t="shared" si="15"/>
        <v>2366</v>
      </c>
      <c r="L18" s="184">
        <f t="shared" si="15"/>
        <v>2249</v>
      </c>
      <c r="M18" s="184">
        <f t="shared" si="15"/>
        <v>368</v>
      </c>
      <c r="N18" s="184">
        <f t="shared" si="15"/>
        <v>1330</v>
      </c>
      <c r="O18" s="184">
        <f t="shared" si="15"/>
        <v>68</v>
      </c>
      <c r="P18" s="184">
        <f t="shared" si="15"/>
        <v>217</v>
      </c>
      <c r="Q18" s="184">
        <f t="shared" si="15"/>
        <v>186</v>
      </c>
      <c r="R18" s="184">
        <f t="shared" si="15"/>
        <v>643</v>
      </c>
      <c r="S18" s="184">
        <f t="shared" si="15"/>
        <v>1669</v>
      </c>
      <c r="T18" s="184">
        <f t="shared" si="15"/>
        <v>2245</v>
      </c>
      <c r="U18" s="184">
        <f t="shared" si="15"/>
        <v>2167</v>
      </c>
      <c r="V18" s="184">
        <f t="shared" si="15"/>
        <v>1810</v>
      </c>
      <c r="W18" s="184">
        <f t="shared" si="15"/>
        <v>347</v>
      </c>
      <c r="X18" s="184">
        <f t="shared" si="15"/>
        <v>1236</v>
      </c>
      <c r="Y18" s="184">
        <f t="shared" si="15"/>
        <v>0</v>
      </c>
      <c r="Z18" s="184">
        <f t="shared" si="15"/>
        <v>0</v>
      </c>
      <c r="AA18" s="184">
        <f t="shared" si="15"/>
        <v>0</v>
      </c>
      <c r="AB18" s="184">
        <f t="shared" si="15"/>
        <v>0</v>
      </c>
      <c r="AC18" s="184">
        <f t="shared" si="15"/>
        <v>2</v>
      </c>
      <c r="AD18" s="184">
        <f t="shared" si="15"/>
        <v>95</v>
      </c>
      <c r="AE18" s="184">
        <f t="shared" si="15"/>
        <v>95</v>
      </c>
      <c r="AF18" s="184">
        <f t="shared" si="15"/>
        <v>2</v>
      </c>
      <c r="AG18" s="184">
        <f t="shared" si="15"/>
        <v>0</v>
      </c>
      <c r="AH18" s="184">
        <f t="shared" si="15"/>
        <v>0</v>
      </c>
      <c r="AI18" s="184">
        <f t="shared" si="15"/>
        <v>0</v>
      </c>
      <c r="AJ18" s="184">
        <f t="shared" si="15"/>
        <v>0</v>
      </c>
      <c r="AK18" s="184">
        <f t="shared" si="15"/>
        <v>6</v>
      </c>
      <c r="AL18" s="184">
        <f t="shared" si="15"/>
        <v>128</v>
      </c>
      <c r="AM18" s="184">
        <f t="shared" si="15"/>
        <v>130</v>
      </c>
      <c r="AN18" s="184">
        <f t="shared" si="15"/>
        <v>4</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1669</v>
      </c>
      <c r="AZ18" s="184">
        <f>SUBTOTAL(9,AZ14:AZ17)</f>
        <v>2245</v>
      </c>
      <c r="BA18" s="184">
        <f>SUBTOTAL(9,BA14:BA17)</f>
        <v>2167</v>
      </c>
      <c r="BB18" s="184">
        <f>SUBTOTAL(9,BB14:BB17)</f>
        <v>1810</v>
      </c>
      <c r="BC18" s="184">
        <f>SUBTOTAL(9,BC14:BC17)</f>
        <v>347</v>
      </c>
      <c r="BD18" s="205">
        <f>IF(ISNUMBER(BA18/AZ18),BA18/AZ18," - ")</f>
        <v>0.9652561247216036</v>
      </c>
      <c r="BE18" s="206">
        <f>IF(ISNUMBER(BB18/BA18),BB18/BA18, " - ")</f>
        <v>0.83525611444393166</v>
      </c>
      <c r="BF18" s="206">
        <f>IF(ISNUMBER(BC18/BA18),BC18/BA18, " - ")</f>
        <v>0.1601292108906322</v>
      </c>
      <c r="BG18" s="207">
        <f>IF(ISNUMBER((AY18+AZ18)/BA18),(AY18+AZ18)/BA18," - ")</f>
        <v>1.8061836640516844</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6315</v>
      </c>
      <c r="J19" s="134">
        <f t="shared" si="18"/>
        <v>4921</v>
      </c>
      <c r="K19" s="134">
        <f t="shared" si="18"/>
        <v>4473</v>
      </c>
      <c r="L19" s="134">
        <f t="shared" si="18"/>
        <v>6783</v>
      </c>
      <c r="M19" s="134">
        <f t="shared" si="18"/>
        <v>787</v>
      </c>
      <c r="N19" s="134">
        <f t="shared" si="18"/>
        <v>2559</v>
      </c>
      <c r="O19" s="134">
        <f t="shared" si="18"/>
        <v>845</v>
      </c>
      <c r="P19" s="134">
        <f t="shared" si="18"/>
        <v>703</v>
      </c>
      <c r="Q19" s="134">
        <f t="shared" si="18"/>
        <v>688</v>
      </c>
      <c r="R19" s="134">
        <f t="shared" si="18"/>
        <v>6934</v>
      </c>
      <c r="S19" s="134">
        <f t="shared" si="18"/>
        <v>4875</v>
      </c>
      <c r="T19" s="134">
        <f t="shared" si="18"/>
        <v>4102</v>
      </c>
      <c r="U19" s="134">
        <f t="shared" si="18"/>
        <v>3881</v>
      </c>
      <c r="V19" s="134">
        <f t="shared" si="18"/>
        <v>5279</v>
      </c>
      <c r="W19" s="134">
        <f t="shared" si="18"/>
        <v>702</v>
      </c>
      <c r="X19" s="134">
        <f t="shared" si="18"/>
        <v>2220</v>
      </c>
      <c r="Y19" s="134">
        <f t="shared" si="18"/>
        <v>149</v>
      </c>
      <c r="Z19" s="134">
        <f t="shared" si="18"/>
        <v>178</v>
      </c>
      <c r="AA19" s="134">
        <f t="shared" si="18"/>
        <v>189</v>
      </c>
      <c r="AB19" s="134">
        <f t="shared" si="18"/>
        <v>138</v>
      </c>
      <c r="AC19" s="134">
        <f t="shared" si="18"/>
        <v>2</v>
      </c>
      <c r="AD19" s="134">
        <f t="shared" si="18"/>
        <v>95</v>
      </c>
      <c r="AE19" s="134">
        <f t="shared" si="18"/>
        <v>95</v>
      </c>
      <c r="AF19" s="134">
        <f t="shared" si="18"/>
        <v>2</v>
      </c>
      <c r="AG19" s="134">
        <f t="shared" si="18"/>
        <v>207</v>
      </c>
      <c r="AH19" s="134">
        <f t="shared" si="18"/>
        <v>163</v>
      </c>
      <c r="AI19" s="134">
        <f t="shared" si="18"/>
        <v>199</v>
      </c>
      <c r="AJ19" s="134">
        <f t="shared" si="18"/>
        <v>171</v>
      </c>
      <c r="AK19" s="134">
        <f t="shared" si="18"/>
        <v>6</v>
      </c>
      <c r="AL19" s="134">
        <f t="shared" si="18"/>
        <v>128</v>
      </c>
      <c r="AM19" s="134">
        <f t="shared" si="18"/>
        <v>130</v>
      </c>
      <c r="AN19" s="210">
        <f t="shared" si="18"/>
        <v>4</v>
      </c>
      <c r="AO19" s="211">
        <v>8</v>
      </c>
      <c r="AP19" s="211">
        <v>8</v>
      </c>
      <c r="AQ19" s="211">
        <v>8</v>
      </c>
      <c r="AR19" s="211">
        <v>8</v>
      </c>
      <c r="AS19" s="153">
        <f t="shared" si="18"/>
        <v>0</v>
      </c>
      <c r="AT19" s="153">
        <f t="shared" si="18"/>
        <v>0</v>
      </c>
      <c r="AU19" s="211"/>
      <c r="AV19" s="212"/>
      <c r="AW19" s="211"/>
      <c r="AX19" s="212"/>
      <c r="AY19" s="133">
        <f>SUBTOTAL(9,AY9:AY18)</f>
        <v>5082</v>
      </c>
      <c r="AZ19" s="134">
        <f>SUBTOTAL(9,AZ9:AZ18)</f>
        <v>4265</v>
      </c>
      <c r="BA19" s="134">
        <f>SUBTOTAL(9,BA9:BA18)</f>
        <v>4080</v>
      </c>
      <c r="BB19" s="134">
        <f>SUBTOTAL(9,BB9:BB18)</f>
        <v>5450</v>
      </c>
      <c r="BC19" s="135">
        <f>SUBTOTAL(9,BC9:BC18)</f>
        <v>1341</v>
      </c>
      <c r="BD19" s="213">
        <f>IF(ISNUMBER(BA19/AZ19),BA19/AZ19," - ")</f>
        <v>0.95662368112543961</v>
      </c>
      <c r="BE19" s="210">
        <f>IF(ISNUMBER(BB19/BA19),BB19/BA19, " - ")</f>
        <v>1.3357843137254901</v>
      </c>
      <c r="BF19" s="210">
        <f>IF(ISNUMBER(BC19/BA19),BC19/BA19, " - ")</f>
        <v>0.32867647058823529</v>
      </c>
      <c r="BG19" s="135">
        <f>IF(ISNUMBER((AY19+AZ19)/BA19),(AY19+AZ19)/BA19," - ")</f>
        <v>2.2909313725490197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GKLm0KM4iBiPXv3s7E3tRLDBr4bha8yP3RZ1KF1dfZY7/NhKX0hyavwYpzjQxLqGlrSobEf0Qzq2X0hhcLcQ==" saltValue="/TMeoVmtcUTX5llMIZe/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LV74jwZMPWDzKPF0oqh7ed34MWK8/Hv1lJAQqRvsTcyJgbacGckzaLi56JPFSN7+Bk20CtAYcC7C0Ia4zLb6Q==" saltValue="4AkNqyTe6YzfPw6UhwX8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50</v>
      </c>
      <c r="G10" s="333">
        <f>IF(ISNUMBER(Datos!I10),Datos!I10," - ")</f>
        <v>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8</v>
      </c>
      <c r="AD10" s="334"/>
      <c r="AE10" s="484"/>
      <c r="AF10" s="332">
        <f>IF(ISNUMBER(Datos!L10),Datos!L10,"-")</f>
        <v>52</v>
      </c>
      <c r="AG10" s="334"/>
      <c r="AH10" s="334"/>
      <c r="AI10" s="334"/>
      <c r="AJ10" s="334"/>
      <c r="AK10" s="334"/>
      <c r="AL10" s="479"/>
      <c r="AM10" s="335">
        <f>IF(ISNUMBER(Datos!R10),Datos!R10," - ")</f>
        <v>57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9</v>
      </c>
      <c r="BE10" s="229" t="str">
        <f>IF(ISNUMBER(Datos!BW10),Datos!BW10," - ")</f>
        <v xml:space="preserve"> - </v>
      </c>
      <c r="BF10" s="228" t="str">
        <f>IF(ISNUMBER(Datos!BX10),Datos!BX10," - ")</f>
        <v xml:space="preserve"> - </v>
      </c>
      <c r="BG10" s="243">
        <f>IF(ISNUMBER(Datos!K10/Datos!J10),Datos!K10/Datos!J10," - ")</f>
        <v>0.9285714285714286</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-6.5573770491803282E-2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178</v>
      </c>
      <c r="O12" s="334"/>
      <c r="P12" s="334"/>
      <c r="Q12" s="226">
        <f>IF(ISNUMBER(Datos!P12),Datos!P12,0)</f>
        <v>482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138</v>
      </c>
      <c r="AI12" s="334" t="str">
        <f>IF(ISNUMBER(Datos!CD12),Datos!CD12,"-")</f>
        <v>-</v>
      </c>
      <c r="AJ12" s="334" t="str">
        <f>IF(ISNUMBER(Datos!EN12),Datos!EN12," - ")</f>
        <v xml:space="preserve"> - </v>
      </c>
      <c r="AK12" s="334"/>
      <c r="AL12" s="479"/>
      <c r="AM12" s="335">
        <f>IF(ISNUMBER(Datos!R12),Datos!R12," - ")</f>
        <v>6234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410</v>
      </c>
      <c r="BD12" s="229">
        <f>IF(ISNUMBER(Datos!N12),Datos!N12," - ")</f>
        <v>1220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0.83702064896755157</v>
      </c>
      <c r="BH12" s="260">
        <f>IF(ISNUMBER(((IF(J_V="SI",Datos!L12/Datos!K12,(Datos!L12+Datos!AB12)/(Datos!K12+Datos!AA12)))*11)/factor_trimestre),((IF(J_V="SI",Datos!L12/Datos!K12,(Datos!L12+Datos!AB12)/(Datos!K12+Datos!AA12)))*11)/factor_trimestre," - ")</f>
        <v>6.105726872246696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-1.9212295869356388E-3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50</v>
      </c>
      <c r="G13" s="898">
        <f t="shared" si="0"/>
        <v>50</v>
      </c>
      <c r="H13" s="899">
        <f t="shared" si="0"/>
        <v>0</v>
      </c>
      <c r="I13" s="898">
        <f t="shared" si="0"/>
        <v>0</v>
      </c>
      <c r="J13" s="867">
        <f t="shared" si="0"/>
        <v>0</v>
      </c>
      <c r="K13" s="867">
        <f t="shared" si="0"/>
        <v>0</v>
      </c>
      <c r="L13" s="899">
        <f t="shared" si="0"/>
        <v>0</v>
      </c>
      <c r="M13" s="899">
        <f t="shared" si="0"/>
        <v>0</v>
      </c>
      <c r="N13" s="899">
        <f t="shared" si="0"/>
        <v>178</v>
      </c>
      <c r="O13" s="900">
        <f t="shared" si="0"/>
        <v>0</v>
      </c>
      <c r="P13" s="900">
        <f t="shared" si="0"/>
        <v>0</v>
      </c>
      <c r="Q13" s="899">
        <f t="shared" si="0"/>
        <v>486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502</v>
      </c>
      <c r="AD13" s="899">
        <f t="shared" si="1"/>
        <v>0</v>
      </c>
      <c r="AE13" s="899">
        <f t="shared" si="1"/>
        <v>0</v>
      </c>
      <c r="AF13" s="899">
        <f t="shared" si="1"/>
        <v>52</v>
      </c>
      <c r="AG13" s="899">
        <f t="shared" si="1"/>
        <v>0</v>
      </c>
      <c r="AH13" s="899">
        <f t="shared" si="1"/>
        <v>138</v>
      </c>
      <c r="AI13" s="899">
        <f t="shared" si="1"/>
        <v>0</v>
      </c>
      <c r="AJ13" s="899">
        <f t="shared" si="1"/>
        <v>0</v>
      </c>
      <c r="AK13" s="899">
        <f t="shared" si="1"/>
        <v>0</v>
      </c>
      <c r="AL13" s="899">
        <f t="shared" si="1"/>
        <v>0</v>
      </c>
      <c r="AM13" s="899">
        <f t="shared" si="1"/>
        <v>6291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419</v>
      </c>
      <c r="BD13" s="899">
        <f t="shared" si="1"/>
        <v>1229</v>
      </c>
      <c r="BE13" s="899">
        <f t="shared" si="1"/>
        <v>0</v>
      </c>
      <c r="BF13" s="899">
        <f t="shared" si="1"/>
        <v>0</v>
      </c>
      <c r="BG13" s="899">
        <f>IF(ISNUMBER(Datos!K13/Datos!J13),Datos!K13/Datos!J13," - ")</f>
        <v>0.82240437158469948</v>
      </c>
      <c r="BH13" s="903">
        <f>IF(ISNUMBER(((Datos!L13/Datos!K13)*11)/factor_trimestre),((Datos!L13/Datos!K13)*11)/factor_trimestre," - ")</f>
        <v>6.4556241101091603</v>
      </c>
      <c r="BI13" s="899">
        <f>IF(ISNUMBER('Resol  Asuntos'!D13/NºAsuntos!G13),'Resol  Asuntos'!D13/NºAsuntos!G13," - ")</f>
        <v>0.18249128919860627</v>
      </c>
      <c r="BJ13" s="899" t="str">
        <f>IF(ISNUMBER(Datos!CI13/Datos!CJ13),Datos!CI13/Datos!CJ13," - ")</f>
        <v xml:space="preserve"> - </v>
      </c>
      <c r="BK13" s="899">
        <f>SUBTOTAL(9,BK8:BK12)</f>
        <v>0</v>
      </c>
      <c r="BL13" s="899">
        <f>IF(ISNUMBER((I13-AB13+L13)/(F13)),(I13-AB13+L13)/(F13)," - ")</f>
        <v>-0.52</v>
      </c>
      <c r="BM13" s="904">
        <f>SUBTOTAL(9,BM9:BM12)</f>
        <v>-6.7495000078738918E-2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2111</v>
      </c>
      <c r="G16" s="598">
        <f>IF(ISNUMBER(IF(D_I="SI",Datos!I16,Datos!I16+Datos!AC16)),IF(D_I="SI",Datos!I16,Datos!I16+Datos!AC16)," - ")</f>
        <v>2106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2155</v>
      </c>
      <c r="AC16" s="226">
        <f>IF(ISNUMBER(Datos!Q16),Datos!Q16," - ")</f>
        <v>185</v>
      </c>
      <c r="AD16" s="334"/>
      <c r="AE16" s="484"/>
      <c r="AF16" s="596">
        <f>IF(ISNUMBER(IF(D_I="SI",Datos!L16,Datos!L16+Datos!AF16)),IF(D_I="SI",Datos!L16,Datos!L16+Datos!AF16)," - ")</f>
        <v>2088</v>
      </c>
      <c r="AG16" s="334"/>
      <c r="AH16" s="334"/>
      <c r="AI16" s="334"/>
      <c r="AJ16" s="334"/>
      <c r="AK16" s="334"/>
      <c r="AL16" s="479"/>
      <c r="AM16" s="335">
        <f>IF(ISNUMBER(Datos!R16),Datos!R16," - ")</f>
        <v>637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360</v>
      </c>
      <c r="BD16" s="229">
        <f>IF(ISNUMBER(Datos!N16),Datos!N16," - ")</f>
        <v>1231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1.0107879924953096</v>
      </c>
      <c r="BH16" s="260">
        <f>IF(ISNUMBER(((IF(D_I="SI",Datos!L16/Datos!K16,(Datos!L16+Datos!AF16)/(Datos!K16+Datos!AE16)))*11)/factor_trimestre),((IF(D_I="SI",Datos!L16/Datos!K16,(Datos!L16+Datos!AF16)/(Datos!K16+Datos!AE16)))*11)/factor_trimestre," - ")</f>
        <v>2.9067285382830628</v>
      </c>
      <c r="BI16" s="243">
        <f>IF(ISNUMBER('Resol  Asuntos'!D16/NºAsuntos!G16),'Resol  Asuntos'!D16/NºAsuntos!G16," - ")</f>
        <v>0.16705336426914152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211</v>
      </c>
      <c r="AC17" s="226">
        <f>IF(ISNUMBER(Datos!Q17),Datos!Q17," - ")</f>
        <v>1</v>
      </c>
      <c r="AD17" s="334"/>
      <c r="AE17" s="484"/>
      <c r="AF17" s="332">
        <f>IF(ISNUMBER(Datos!L17),Datos!L17,"-")</f>
        <v>161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0.92951541850220265</v>
      </c>
      <c r="BH17" s="260">
        <f>IF(ISNUMBER(((IF(D_I="SI",Datos!L17/Datos!K17,(Datos!L17+Datos!AF17)/(Datos!K17+Datos!AE17)))*11)/factor_trimestre),((IF(D_I="SI",Datos!L17/Datos!K17,(Datos!L17+Datos!AF17)/(Datos!K17+Datos!AE17)))*11)/factor_trimestre," - ")</f>
        <v>2.2890995260663511</v>
      </c>
      <c r="BI17" s="243">
        <f>IF(ISNUMBER('Resol  Asuntos'!D17/NºAsuntos!G17),'Resol  Asuntos'!D17/NºAsuntos!G17," - ")</f>
        <v>3.7914691943127965E-2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2111</v>
      </c>
      <c r="G18" s="898">
        <f>SUBTOTAL(9,G15:G17)</f>
        <v>2249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2366</v>
      </c>
      <c r="AC18" s="899">
        <f t="shared" si="4"/>
        <v>186</v>
      </c>
      <c r="AD18" s="899">
        <f t="shared" si="4"/>
        <v>0</v>
      </c>
      <c r="AE18" s="899">
        <f t="shared" si="4"/>
        <v>0</v>
      </c>
      <c r="AF18" s="899">
        <f t="shared" si="4"/>
        <v>2249</v>
      </c>
      <c r="AG18" s="899">
        <f t="shared" si="4"/>
        <v>0</v>
      </c>
      <c r="AH18" s="899">
        <f t="shared" si="4"/>
        <v>0</v>
      </c>
      <c r="AI18" s="899">
        <f t="shared" si="4"/>
        <v>0</v>
      </c>
      <c r="AJ18" s="899">
        <f t="shared" si="4"/>
        <v>0</v>
      </c>
      <c r="AK18" s="899">
        <f t="shared" si="4"/>
        <v>0</v>
      </c>
      <c r="AL18" s="899">
        <f t="shared" si="4"/>
        <v>0</v>
      </c>
      <c r="AM18" s="899">
        <f t="shared" si="4"/>
        <v>643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368</v>
      </c>
      <c r="BD18" s="899">
        <f t="shared" si="4"/>
        <v>1330</v>
      </c>
      <c r="BE18" s="899">
        <f t="shared" si="4"/>
        <v>0</v>
      </c>
      <c r="BF18" s="899">
        <f t="shared" si="4"/>
        <v>0</v>
      </c>
      <c r="BG18" s="899">
        <f>IF(ISNUMBER(Datos!K18/Datos!J18),Datos!K18/Datos!J18," - ")</f>
        <v>1.0029673590504451</v>
      </c>
      <c r="BH18" s="903">
        <f>IF(ISNUMBER(((Datos!L18/Datos!K18)*11)/factor_trimestre),((Datos!L18/Datos!K18)*11)/factor_trimestre," - ")</f>
        <v>2.8516483516483517</v>
      </c>
      <c r="BI18" s="899">
        <f>SUBTOTAL(9,BI15:BI17)</f>
        <v>0.20496805621226949</v>
      </c>
      <c r="BJ18" s="899">
        <f>SUBTOTAL(9,BJ15:BJ17)</f>
        <v>0</v>
      </c>
      <c r="BK18" s="899">
        <f>SUBTOTAL(9,BK15:BK17)</f>
        <v>0</v>
      </c>
      <c r="BL18" s="899">
        <f>IF(ISNUMBER((I18-AB18+L18)/(F18)),(I18-AB18+L18)/(F18)," - ")</f>
        <v>-1.1207958313595452</v>
      </c>
      <c r="BM18" s="905">
        <f>IF(ISNUMBER((Datos!P18-Datos!Q18)/(Datos!R18-Datos!P18+Datos!Q18)),(Datos!P18-Datos!Q18)/(Datos!R18-Datos!P18+Datos!Q18)," - ")</f>
        <v>5.0653594771241831E-2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2161</v>
      </c>
      <c r="G19" s="820">
        <f t="shared" si="6"/>
        <v>2299</v>
      </c>
      <c r="H19" s="822">
        <f t="shared" si="6"/>
        <v>0</v>
      </c>
      <c r="I19" s="820">
        <f t="shared" si="6"/>
        <v>0</v>
      </c>
      <c r="J19" s="822">
        <f t="shared" si="6"/>
        <v>0</v>
      </c>
      <c r="K19" s="822">
        <f t="shared" si="6"/>
        <v>0</v>
      </c>
      <c r="L19" s="881">
        <f t="shared" si="6"/>
        <v>0</v>
      </c>
      <c r="M19" s="881">
        <f t="shared" si="6"/>
        <v>0</v>
      </c>
      <c r="N19" s="881">
        <f t="shared" si="6"/>
        <v>178</v>
      </c>
      <c r="O19" s="881">
        <f t="shared" si="6"/>
        <v>0</v>
      </c>
      <c r="P19" s="881">
        <f t="shared" si="6"/>
        <v>0</v>
      </c>
      <c r="Q19" s="822">
        <f t="shared" si="6"/>
        <v>703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2392</v>
      </c>
      <c r="AC19" s="821">
        <f t="shared" si="7"/>
        <v>688</v>
      </c>
      <c r="AD19" s="821">
        <f t="shared" si="7"/>
        <v>0</v>
      </c>
      <c r="AE19" s="821">
        <f t="shared" si="7"/>
        <v>0</v>
      </c>
      <c r="AF19" s="828">
        <f t="shared" si="7"/>
        <v>2301</v>
      </c>
      <c r="AG19" s="828">
        <f t="shared" si="7"/>
        <v>0</v>
      </c>
      <c r="AH19" s="828">
        <f t="shared" si="7"/>
        <v>138</v>
      </c>
      <c r="AI19" s="828">
        <f t="shared" si="7"/>
        <v>0</v>
      </c>
      <c r="AJ19" s="821">
        <f t="shared" si="7"/>
        <v>0</v>
      </c>
      <c r="AK19" s="828">
        <f t="shared" si="7"/>
        <v>0</v>
      </c>
      <c r="AL19" s="828">
        <f t="shared" si="7"/>
        <v>0</v>
      </c>
      <c r="AM19" s="828">
        <f t="shared" si="7"/>
        <v>6934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787</v>
      </c>
      <c r="BD19" s="820">
        <f t="shared" si="7"/>
        <v>2559</v>
      </c>
      <c r="BE19" s="820">
        <f t="shared" si="7"/>
        <v>0</v>
      </c>
      <c r="BF19" s="830">
        <f t="shared" si="7"/>
        <v>0</v>
      </c>
      <c r="BG19" s="915">
        <f>IF(ISNUMBER(Datos!K19/Datos!J19),Datos!K19/Datos!J19," - ")</f>
        <v>0.90896159317211944</v>
      </c>
      <c r="BH19" s="915">
        <f>IF(ISNUMBER(((Datos!L19/Datos!K19)*11)/factor_trimestre),((Datos!L19/Datos!K19)*11)/factor_trimestre," - ")</f>
        <v>4.549295774647887</v>
      </c>
      <c r="BI19" s="813">
        <f>IF(ISNUMBER(Datos!J19/Datos!I19),Datos!J19/Datos!I19," - ")</f>
        <v>0.77925574030087097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-1.106894956038871</v>
      </c>
      <c r="BM19" s="889">
        <f>IF(ISNUMBER((Datos!P19-Datos!Q19+R19)/(Datos!R19-Datos!P19+Datos!Q19-R19)),(Datos!P19-Datos!Q19+R19)/(Datos!R19-Datos!P19+Datos!Q19-R19)," - ")</f>
        <v>2.1679433444139326E-3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1189.9189047998186</v>
      </c>
      <c r="G21" s="552">
        <f>IF(ISNUMBER(STDEV(G8:G18)),STDEV(G8:G18),"-")</f>
        <v>1150.0396949670912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1194.8350095306046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197.94814135693889</v>
      </c>
      <c r="BD21" s="551"/>
      <c r="BE21" s="551">
        <f>IF(ISNUMBER(STDEV(BE8:BE18)),STDEV(BE8:BE18),"-")</f>
        <v>0</v>
      </c>
      <c r="BF21" s="556">
        <f>IF(ISNUMBER(STDEV(BF8:BF18)),STDEV(BF8:BF18),"-")</f>
        <v>0</v>
      </c>
      <c r="BG21" s="775">
        <f>IF(ISNUMBER(STDEV(BG8:BG18)),STDEV(BG8:BG18),"-")</f>
        <v>7.9598210832146798E-2</v>
      </c>
      <c r="BH21" s="776">
        <f>IF(ISNUMBER(STDEV(BH8:BH18)),STDEV(BH8:BH18),"-")</f>
        <v>1.9375747621137547</v>
      </c>
      <c r="BI21" s="249">
        <f>IF(ISNUMBER(STDEV(BI8:BI18)),STDEV(BI8:BI18),"-")</f>
        <v>7.5092761593241783E-2</v>
      </c>
      <c r="BJ21" s="230" t="str">
        <f>IF(ISNUMBER(BL21/BM21),BL21/BM21," - ")</f>
        <v xml:space="preserve"> - </v>
      </c>
      <c r="BK21" s="575"/>
      <c r="BL21" s="559">
        <f>IF(ISNUMBER(STDEV(BL8:BL18)),STDEV(BL8:BL18),"-")</f>
        <v>0.42482680646294374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p5yPzoma/FvDaoVcAN8lX+vI0vH1/PtT9E2To1lQNtvC7rUAvoHy/NPiQPd8g3VlZulUe049s0lFz5Nz4QXkg==" saltValue="GWyYVNLugenY3AxWgFVM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50</v>
      </c>
      <c r="G10" s="225">
        <f>IF(ISNUMBER(Datos!I10),Datos!I10," - ")</f>
        <v>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8</v>
      </c>
      <c r="AA10" s="332">
        <f>IF(ISNUMBER(Datos!L10),Datos!L10,"-")</f>
        <v>52</v>
      </c>
      <c r="AB10" s="334"/>
      <c r="AC10" s="334"/>
      <c r="AD10" s="484"/>
      <c r="AE10" s="484">
        <f>IF(ISNUMBER(Datos!R10),Datos!R10," - ")</f>
        <v>57</v>
      </c>
      <c r="AF10" s="229" t="str">
        <f>IF(ISNUMBER(Datos!BV10),Datos!BV10," - ")</f>
        <v xml:space="preserve"> - </v>
      </c>
      <c r="AG10" s="225" t="str">
        <f>IF(ISNUMBER(Datos!DV10),Datos!DV10," - ")</f>
        <v xml:space="preserve"> - </v>
      </c>
      <c r="AH10" s="298"/>
      <c r="AI10" s="227"/>
      <c r="AJ10" s="225">
        <f>IF(ISNUMBER(Datos!M10),Datos!M10," - ")</f>
        <v>9</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-6.5573770491803282E-2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494</v>
      </c>
      <c r="AA12" s="332" t="str">
        <f>IF(ISNUMBER(IF(J_V="SI",Datos!L12,Datos!L12+Datos!AB12)-IF(Monitorios="SI",Datos!CD12,0)),
                          IF(J_V="SI",Datos!L12,Datos!L12+Datos!AB12)-IF(Monitorios="SI",Datos!CD12,0),
                          " - ")</f>
        <v xml:space="preserve"> - </v>
      </c>
      <c r="AB12" s="334"/>
      <c r="AC12" s="334"/>
      <c r="AD12" s="484"/>
      <c r="AE12" s="484">
        <f>IF(ISNUMBER(Datos!R12),Datos!R12," - ")</f>
        <v>6234</v>
      </c>
      <c r="AF12" s="229" t="str">
        <f>IF(ISNUMBER(Datos!BV12),Datos!BV12," - ")</f>
        <v xml:space="preserve"> - </v>
      </c>
      <c r="AG12" s="225" t="str">
        <f>IF(ISNUMBER(Datos!DV12),Datos!DV12," - ")</f>
        <v xml:space="preserve"> - </v>
      </c>
      <c r="AH12" s="298"/>
      <c r="AI12" s="227"/>
      <c r="AJ12" s="225">
        <f>IF(ISNUMBER(Datos!M12),Datos!M12," - ")</f>
        <v>410</v>
      </c>
      <c r="AK12" s="229">
        <f>IF(ISNUMBER(Datos!N12),Datos!N12," - ")</f>
        <v>1220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6.105726872246696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-1.9212295869356388E-3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50</v>
      </c>
      <c r="G13" s="898">
        <f>SUBTOTAL(9,G8:G12)</f>
        <v>50</v>
      </c>
      <c r="H13" s="908"/>
      <c r="I13" s="898">
        <f t="shared" ref="I13:N13" si="0">SUBTOTAL(9,I8:I12)</f>
        <v>0</v>
      </c>
      <c r="J13" s="867">
        <f t="shared" si="0"/>
        <v>0</v>
      </c>
      <c r="K13" s="908">
        <f t="shared" si="0"/>
        <v>0</v>
      </c>
      <c r="L13" s="908">
        <f t="shared" si="0"/>
        <v>0</v>
      </c>
      <c r="M13" s="908">
        <f t="shared" si="0"/>
        <v>0</v>
      </c>
      <c r="N13" s="908">
        <f t="shared" si="0"/>
        <v>486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502</v>
      </c>
      <c r="AA13" s="900">
        <f t="shared" si="2"/>
        <v>52</v>
      </c>
      <c r="AB13" s="900">
        <f t="shared" si="2"/>
        <v>0</v>
      </c>
      <c r="AC13" s="900">
        <f t="shared" si="2"/>
        <v>0</v>
      </c>
      <c r="AD13" s="900">
        <f t="shared" si="2"/>
        <v>0</v>
      </c>
      <c r="AE13" s="900">
        <f t="shared" si="2"/>
        <v>6291</v>
      </c>
      <c r="AF13" s="908">
        <f t="shared" si="2"/>
        <v>0</v>
      </c>
      <c r="AG13" s="908">
        <f t="shared" si="2"/>
        <v>0</v>
      </c>
      <c r="AH13" s="908">
        <f t="shared" si="2"/>
        <v>0</v>
      </c>
      <c r="AI13" s="908">
        <f t="shared" si="2"/>
        <v>0</v>
      </c>
      <c r="AJ13" s="908">
        <f t="shared" si="2"/>
        <v>419</v>
      </c>
      <c r="AK13" s="908">
        <f t="shared" si="2"/>
        <v>1229</v>
      </c>
      <c r="AL13" s="908">
        <f t="shared" si="2"/>
        <v>0</v>
      </c>
      <c r="AM13" s="908">
        <f t="shared" si="2"/>
        <v>0</v>
      </c>
      <c r="AN13" s="908">
        <f t="shared" si="2"/>
        <v>0</v>
      </c>
      <c r="AO13" s="904">
        <f>IF(ISNUMBER(((NºAsuntos!I13/NºAsuntos!G13)*11)/factor_trimestre),((NºAsuntos!I13/NºAsuntos!G13)*11)/factor_trimestre," - ")</f>
        <v>6.10452961672474</v>
      </c>
      <c r="AP13" s="910" t="str">
        <f>IF(ISNUMBER(Datos!CI13/Datos!CJ13),Datos!CI13/Datos!CJ13," - ")</f>
        <v xml:space="preserve"> - </v>
      </c>
      <c r="AQ13" s="928">
        <f t="shared" ref="AQ13:AV13" si="3">SUBTOTAL(9,AQ9:AQ12)</f>
        <v>0</v>
      </c>
      <c r="AR13" s="928">
        <f t="shared" si="3"/>
        <v>-6.7495000078738918E-2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2111</v>
      </c>
      <c r="G16" s="225">
        <f>IF(ISNUMBER(IF(D_I="SI",Datos!I16,Datos!I16+Datos!AC16)),IF(D_I="SI",Datos!I16,Datos!I16+Datos!AC16)," - ")</f>
        <v>2106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2155</v>
      </c>
      <c r="Z16" s="619">
        <f>IF(ISNUMBER(Datos!Q16),Datos!Q16," - ")</f>
        <v>185</v>
      </c>
      <c r="AA16" s="332">
        <f>IF(ISNUMBER(IF(D_I="SI",Datos!L16,Datos!L16+Datos!AF16)),IF(D_I="SI",Datos!L16,Datos!L16+Datos!AF16)," - ")</f>
        <v>2088</v>
      </c>
      <c r="AB16" s="334"/>
      <c r="AC16" s="334"/>
      <c r="AD16" s="484"/>
      <c r="AE16" s="484">
        <f>IF(ISNUMBER(Datos!R16),Datos!R16," - ")</f>
        <v>637</v>
      </c>
      <c r="AF16" s="229" t="str">
        <f>IF(ISNUMBER(Datos!BV16),Datos!BV16," - ")</f>
        <v xml:space="preserve"> - </v>
      </c>
      <c r="AG16" s="225"/>
      <c r="AH16" s="298"/>
      <c r="AI16" s="227"/>
      <c r="AJ16" s="225">
        <f>IF(ISNUMBER(Datos!M16),Datos!M16," - ")</f>
        <v>360</v>
      </c>
      <c r="AK16" s="229">
        <f>IF(ISNUMBER(Datos!N16),Datos!N16," - ")</f>
        <v>1231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2.9067285382830628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211</v>
      </c>
      <c r="Z17" s="619">
        <f>IF(ISNUMBER(Datos!Q17),Datos!Q17," - ")</f>
        <v>1</v>
      </c>
      <c r="AA17" s="332">
        <f>IF(ISNUMBER(Datos!L17),Datos!L17,"-")</f>
        <v>161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8</v>
      </c>
      <c r="AK17" s="229">
        <f>IF(ISNUMBER(Datos!N17),Datos!N17," - ")</f>
        <v>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2.2890995260663511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2111</v>
      </c>
      <c r="G18" s="898">
        <f>SUBTOTAL(9,G15:G17)</f>
        <v>2249</v>
      </c>
      <c r="H18" s="932">
        <f>SUBTOTAL(9,H15:H17)</f>
        <v>0</v>
      </c>
      <c r="I18" s="911">
        <f>SUBTOTAL(9,I15:I17)</f>
        <v>0</v>
      </c>
      <c r="J18" s="867">
        <f>SUBTOTAL(9,J14:J17)</f>
        <v>0</v>
      </c>
      <c r="K18" s="932">
        <f t="shared" ref="K18:S18" si="4">SUBTOTAL(9,K15:K17)</f>
        <v>0</v>
      </c>
      <c r="L18" s="932">
        <f t="shared" si="4"/>
        <v>0</v>
      </c>
      <c r="M18" s="932">
        <f t="shared" si="4"/>
        <v>0</v>
      </c>
      <c r="N18" s="932">
        <f t="shared" si="4"/>
        <v>217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2366</v>
      </c>
      <c r="Z18" s="932">
        <f t="shared" si="5"/>
        <v>186</v>
      </c>
      <c r="AA18" s="932">
        <f t="shared" si="5"/>
        <v>2249</v>
      </c>
      <c r="AB18" s="932">
        <f t="shared" si="5"/>
        <v>0</v>
      </c>
      <c r="AC18" s="932">
        <f t="shared" si="5"/>
        <v>0</v>
      </c>
      <c r="AD18" s="932">
        <f t="shared" si="5"/>
        <v>0</v>
      </c>
      <c r="AE18" s="932">
        <f t="shared" si="5"/>
        <v>643</v>
      </c>
      <c r="AF18" s="932">
        <f t="shared" si="5"/>
        <v>0</v>
      </c>
      <c r="AG18" s="932">
        <f t="shared" si="5"/>
        <v>0</v>
      </c>
      <c r="AH18" s="932">
        <f t="shared" si="5"/>
        <v>0</v>
      </c>
      <c r="AI18" s="932">
        <f t="shared" si="5"/>
        <v>0</v>
      </c>
      <c r="AJ18" s="932">
        <f t="shared" si="5"/>
        <v>368</v>
      </c>
      <c r="AK18" s="932">
        <f t="shared" si="5"/>
        <v>1330</v>
      </c>
      <c r="AL18" s="932">
        <f t="shared" si="5"/>
        <v>0</v>
      </c>
      <c r="AM18" s="932">
        <f t="shared" si="5"/>
        <v>0</v>
      </c>
      <c r="AN18" s="932">
        <f t="shared" si="5"/>
        <v>0</v>
      </c>
      <c r="AO18" s="934">
        <f>IF(ISNUMBER(((NºAsuntos!I18/NºAsuntos!G18)*11)/factor_trimestre),((NºAsuntos!I18/NºAsuntos!G18)*11)/factor_trimestre," - ")</f>
        <v>2.8516483516483517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2161</v>
      </c>
      <c r="G19" s="820">
        <f t="shared" si="7"/>
        <v>2299</v>
      </c>
      <c r="H19" s="821">
        <f t="shared" si="7"/>
        <v>0</v>
      </c>
      <c r="I19" s="820">
        <f t="shared" si="7"/>
        <v>0</v>
      </c>
      <c r="J19" s="822">
        <f t="shared" si="7"/>
        <v>0</v>
      </c>
      <c r="K19" s="820">
        <f t="shared" si="7"/>
        <v>0</v>
      </c>
      <c r="L19" s="823">
        <f t="shared" si="7"/>
        <v>0</v>
      </c>
      <c r="M19" s="820">
        <f t="shared" si="7"/>
        <v>0</v>
      </c>
      <c r="N19" s="821">
        <f t="shared" si="7"/>
        <v>703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2392</v>
      </c>
      <c r="Z19" s="827">
        <f t="shared" si="8"/>
        <v>688</v>
      </c>
      <c r="AA19" s="828">
        <f t="shared" si="8"/>
        <v>2301</v>
      </c>
      <c r="AB19" s="828">
        <f t="shared" si="8"/>
        <v>0</v>
      </c>
      <c r="AC19" s="828">
        <f t="shared" si="8"/>
        <v>0</v>
      </c>
      <c r="AD19" s="829">
        <f t="shared" si="8"/>
        <v>0</v>
      </c>
      <c r="AE19" s="829">
        <f t="shared" si="8"/>
        <v>6934</v>
      </c>
      <c r="AF19" s="830">
        <f t="shared" si="8"/>
        <v>0</v>
      </c>
      <c r="AG19" s="831">
        <f t="shared" si="8"/>
        <v>0</v>
      </c>
      <c r="AH19" s="832">
        <f t="shared" si="8"/>
        <v>0</v>
      </c>
      <c r="AI19" s="830">
        <f t="shared" si="8"/>
        <v>0</v>
      </c>
      <c r="AJ19" s="820">
        <f t="shared" si="8"/>
        <v>787</v>
      </c>
      <c r="AK19" s="820">
        <f t="shared" si="8"/>
        <v>2559</v>
      </c>
      <c r="AL19" s="820">
        <f t="shared" si="8"/>
        <v>0</v>
      </c>
      <c r="AM19" s="833">
        <f t="shared" si="8"/>
        <v>0</v>
      </c>
      <c r="AN19" s="823">
        <f>IF(ISNUMBER(Datos!K19/Datos!J19),Datos!K19/Datos!J19," - ")</f>
        <v>0.90896159317211944</v>
      </c>
      <c r="AO19" s="823">
        <f>IF(ISNUMBER(FIND("06",Criterios!A8,1)),(IF(ISNUMBER(((Datos!R19/Datos!Q19)*11)/factor_trimestre),((Datos!R19/Datos!Q19)*11)/factor_trimestre," - ")),(IF(ISNUMBER(((Datos!L19/Datos!K19)*11)/factor_trimestre),((Datos!L19/Datos!K19)*11)/factor_trimestre," - ")))</f>
        <v>4.549295774647887</v>
      </c>
      <c r="AP19" s="834" t="str">
        <f>IF(ISNUMBER(Datos!CI19/Datos!CJ19),Datos!CI19/Datos!CJ19," - ")</f>
        <v xml:space="preserve"> - </v>
      </c>
      <c r="AQ19" s="834">
        <f>IF(OR(ISNUMBER(FIND("01",Criterios!A8,1)),ISNUMBER(FIND("02",Criterios!A8,1)),ISNUMBER(FIND("03",Criterios!A8,1)),ISNUMBER(FIND("04",Criterios!A8,1))),(J19-Y19+K19)/(F19-K19),(I19-Y19+K19)/(F19-K19))</f>
        <v>-1.106894956038871</v>
      </c>
      <c r="AR19" s="834">
        <f>IF(ISNUMBER((Datos!P19-Datos!Q19+O19)/(Datos!R19-Datos!P19+Datos!Q19-O19)),(Datos!P19-Datos!Q19+O19)/(Datos!R19-Datos!P19+Datos!Q19-O19)," - ")</f>
        <v>2.1679433444139326E-3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1189.9189047998186</v>
      </c>
      <c r="G21" s="552">
        <f>IF(ISNUMBER(STDEV(G8:G18)),STDEV(G8:G18),"-")</f>
        <v>1150.0396949670912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197.94814135693889</v>
      </c>
      <c r="AK21" s="252"/>
      <c r="AL21" s="252">
        <f>IF(ISNUMBER(STDEV(AL8:AL18)),STDEV(AL8:AL18),"-")</f>
        <v>0</v>
      </c>
      <c r="AM21" s="254">
        <f>IF(ISNUMBER(STDEV(AM8:AM18)),STDEV(AM8:AM18),"-")</f>
        <v>0</v>
      </c>
      <c r="AN21" s="539">
        <f>IF(ISNUMBER(STDEV(AN8:AN18)),STDEV(AN8:AN18),"-")</f>
        <v>0</v>
      </c>
      <c r="AO21" s="540">
        <f>IF(ISNUMBER(STDEV(AO8:AO18)),STDEV(AO8:AO18),"-")</f>
        <v>1.8684060239747873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S2bXVC2xzRY2E2e8uGgzha5SHZVm1WThUm0E2YZeSHx+c+rcMdHtZyqFUdFSizwBpDOWPlNHpytM6ilEiitwA==" saltValue="7UAENce4S+UbdnxTfzov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s0W5EnjmMthKBMybZPxmTERrJbyVReeM7zNDHtF8hq3le0waTg8yJHlD0m+A73UhUOtRZDzV5+GYhYbEGg4Dg==" saltValue="K/qwF8cdASwdyModZ1HD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7S4dZUQuc/RCnJop8JV9JZVNold3g9ZMk5xddzjDzuftQ85bVJivJ9W0kBNvvGQ2sdOmRKAM8b6Ru43bzqbIA==" saltValue="O6j4wFC9w/veSq9Qp0MI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0.18249128919860627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0.12904082809980985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osKO3qTTHuYf/sy2IklnhIoYcU7LE2oTNPJjqJAFkx7sVUcAl71oy/mIGSUAnclo3qs94C11BYJBUK9Rl/3MA==" saltValue="6KtMJI8THTSweu7I6N5M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XVh7XxGGo1AyY7berpxRieq9QoeVbZ5tMtPYPkzTFaygfxbOAAtMf2o1rak8JBCj82KaGL0vMflNPOmH1z1+w==" saltValue="BOosW60OLxPGyPWCJcTu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ALCORCON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50</v>
      </c>
      <c r="D10" s="404">
        <f>IF(ISNUMBER(C10/Datos!BH10),C10/Datos!BH10," - ")</f>
        <v>50</v>
      </c>
      <c r="E10" s="403">
        <f>IF(ISNUMBER(Datos!J10),Datos!J10," - ")</f>
        <v>28</v>
      </c>
      <c r="F10" s="404">
        <f>IF(ISNUMBER(E10/B10),E10/B10," - ")</f>
        <v>28</v>
      </c>
      <c r="G10" s="403">
        <f>IF(ISNUMBER(Datos!K10),Datos!K10," - ")</f>
        <v>26</v>
      </c>
      <c r="H10" s="404">
        <f>IF(ISNUMBER(G10/B10),G10/B10," - ")</f>
        <v>26</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4165</v>
      </c>
      <c r="D12" s="404">
        <f>IF(ISNUMBER(C12/Datos!BH12),C12/Datos!BH12," - ")</f>
        <v>595</v>
      </c>
      <c r="E12" s="403">
        <f>IF(ISNUMBER(IF(J_V="SI",Datos!J12,Datos!J12+Datos!Z12)),IF(J_V="SI",Datos!J12,Datos!J12+Datos!Z12)," - ")</f>
        <v>2712</v>
      </c>
      <c r="F12" s="404">
        <f>IF(ISNUMBER(E12/B12),E12/B12," - ")</f>
        <v>387.42857142857144</v>
      </c>
      <c r="G12" s="403">
        <f>IF(ISNUMBER(IF(J_V="SI",Datos!K12,Datos!K12+Datos!AA12)),IF(J_V="SI",Datos!K12,Datos!K12+Datos!AA12)," - ")</f>
        <v>2270</v>
      </c>
      <c r="H12" s="404">
        <f>IF(ISNUMBER(G12/B12),G12/B12," - ")</f>
        <v>324.28571428571428</v>
      </c>
      <c r="I12" s="403">
        <f>IF(ISNUMBER(IF(J_V="SI",Datos!L12,Datos!L12+Datos!AB12)),IF(J_V="SI",Datos!L12,Datos!L12+Datos!AB12)," - ")</f>
        <v>4620</v>
      </c>
      <c r="J12" s="404">
        <f>IF(ISNUMBER(I12/B12),I12/B12," - ")</f>
        <v>660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4215</v>
      </c>
      <c r="D13" s="850" t="str">
        <f>IF(ISNUMBER(C13/Datos!BI13),C13/Datos!BI13," - ")</f>
        <v xml:space="preserve"> - </v>
      </c>
      <c r="E13" s="849">
        <f>SUBTOTAL(9,E8:E12)</f>
        <v>2740</v>
      </c>
      <c r="F13" s="850">
        <f>IF(ISNUMBER(E13/B13),E13/B13," - ")</f>
        <v>342.5</v>
      </c>
      <c r="G13" s="849">
        <f>SUBTOTAL(9,G8:G12)</f>
        <v>2296</v>
      </c>
      <c r="H13" s="850">
        <f>IF(ISNUMBER(G13/B13),G13/B13," - ")</f>
        <v>287</v>
      </c>
      <c r="I13" s="849">
        <f>SUBTOTAL(9,I8:I12)</f>
        <v>4672</v>
      </c>
      <c r="J13" s="850">
        <f>IF(ISNUMBER(I13/B13),I13/B13," - ")</f>
        <v>584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2106</v>
      </c>
      <c r="D16" s="404">
        <f>IF(ISNUMBER(C16/Datos!BH16),C16/Datos!BH16," - ")</f>
        <v>300.85714285714283</v>
      </c>
      <c r="E16" s="403">
        <f>IF(ISNUMBER(IF(D_I="SI",Datos!J16,Datos!J16+Datos!AD16)),IF(D_I="SI",Datos!J16,Datos!J16+Datos!AD16)," - ")</f>
        <v>2132</v>
      </c>
      <c r="F16" s="404">
        <f>IF(ISNUMBER(E16/B16),E16/B16," - ")</f>
        <v>304.57142857142856</v>
      </c>
      <c r="G16" s="403">
        <f>IF(ISNUMBER(IF(D_I="SI",Datos!K16,Datos!K16+Datos!AE16)),IF(D_I="SI",Datos!K16,Datos!K16+Datos!AE16)," - ")</f>
        <v>2155</v>
      </c>
      <c r="H16" s="404">
        <f>IF(ISNUMBER(G16/B16),G16/B16," - ")</f>
        <v>307.85714285714283</v>
      </c>
      <c r="I16" s="403">
        <f>IF(ISNUMBER(IF(D_I="SI",Datos!L16,Datos!L16+Datos!AF16)),IF(D_I="SI",Datos!L16,Datos!L16+Datos!AF16)," - ")</f>
        <v>2088</v>
      </c>
      <c r="J16" s="404">
        <f>IF(ISNUMBER(I16/B16),I16/B16," - ")</f>
        <v>298.28571428571428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227</v>
      </c>
      <c r="F17" s="404">
        <f>IF(ISNUMBER(E17/B17),E17/B17," - ")</f>
        <v>227</v>
      </c>
      <c r="G17" s="403">
        <f>IF(ISNUMBER(IF(D_I="SI",Datos!K17,Datos!K17+Datos!AE17)),IF(D_I="SI",Datos!K17,Datos!K17+Datos!AE17)," - ")</f>
        <v>211</v>
      </c>
      <c r="H17" s="404">
        <f>IF(ISNUMBER(G17/B17),G17/B17," - ")</f>
        <v>211</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2249</v>
      </c>
      <c r="D18" s="850" t="str">
        <f>IF(ISNUMBER(C18/Datos!BI18),C18/Datos!BI18," - ")</f>
        <v xml:space="preserve"> - </v>
      </c>
      <c r="E18" s="849">
        <f>SUBTOTAL(9,E14:E17)</f>
        <v>2359</v>
      </c>
      <c r="F18" s="850">
        <f>IF(ISNUMBER(E18/B18),E18/B18," - ")</f>
        <v>294.875</v>
      </c>
      <c r="G18" s="849">
        <f>SUBTOTAL(9,G14:G17)</f>
        <v>2366</v>
      </c>
      <c r="H18" s="850">
        <f>IF(ISNUMBER(G18/B18),G18/B18," - ")</f>
        <v>295.75</v>
      </c>
      <c r="I18" s="849">
        <f>SUBTOTAL(9,I14:I17)</f>
        <v>2249</v>
      </c>
      <c r="J18" s="850">
        <f>IF(ISNUMBER(I18/B18),I18/B18," - ")</f>
        <v>281.125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6464</v>
      </c>
      <c r="D19" s="795" t="str">
        <f>IF(ISNUMBER(C19/Datos!BI19),C19/Datos!BI19," - ")</f>
        <v xml:space="preserve"> - </v>
      </c>
      <c r="E19" s="794">
        <f>SUBTOTAL(9,E9:E18)</f>
        <v>5099</v>
      </c>
      <c r="F19" s="795">
        <f>IF(ISNUMBER(E19/B19),E19/B19," - ")</f>
        <v>637.375</v>
      </c>
      <c r="G19" s="794">
        <f>SUBTOTAL(9,G9:G18)</f>
        <v>4662</v>
      </c>
      <c r="H19" s="795">
        <f>IF(ISNUMBER(G19/B19),G19/B19," - ")</f>
        <v>582.75</v>
      </c>
      <c r="I19" s="794">
        <f>SUBTOTAL(9,I9:I18)</f>
        <v>6921</v>
      </c>
      <c r="J19" s="795">
        <f>IF(ISNUMBER(I19/B19),I19/B19," - ")</f>
        <v>865.125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hz7XXGTS76MTmDbXzzGcKtiwGru31RMGKKeRjP0ntUp+bIWjAH/7u2WM5/uHGSMX6mA6qfL3zSjWpQo8VnWlg==" saltValue="ZFq6TH2GkBXANW/O1J6L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50</v>
      </c>
      <c r="G10" s="684">
        <f>IF(ISNUMBER(Datos!I10),Datos!I10," - ")</f>
        <v>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410</v>
      </c>
      <c r="AM12" s="690">
        <f>IF(ISNUMBER(Datos!N12+DatosP!N16),Datos!N12+DatosP!N16," - ")</f>
        <v>1220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6.105726872246696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-1.9212295869356388E-3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50</v>
      </c>
      <c r="G13" s="938">
        <f t="shared" si="0"/>
        <v>50</v>
      </c>
      <c r="H13" s="938">
        <f t="shared" si="0"/>
        <v>0</v>
      </c>
      <c r="I13" s="940">
        <f t="shared" si="0"/>
        <v>0</v>
      </c>
      <c r="J13" s="939">
        <f t="shared" si="0"/>
        <v>0</v>
      </c>
      <c r="K13" s="939">
        <f t="shared" si="0"/>
        <v>0</v>
      </c>
      <c r="L13" s="941">
        <f t="shared" si="0"/>
        <v>0</v>
      </c>
      <c r="M13" s="941">
        <f t="shared" si="0"/>
        <v>0</v>
      </c>
      <c r="N13" s="939">
        <f t="shared" si="0"/>
        <v>486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494</v>
      </c>
      <c r="AE13" s="939">
        <f t="shared" si="1"/>
        <v>0</v>
      </c>
      <c r="AF13" s="939">
        <f t="shared" si="1"/>
        <v>52</v>
      </c>
      <c r="AG13" s="939">
        <f t="shared" si="1"/>
        <v>0</v>
      </c>
      <c r="AH13" s="939">
        <f t="shared" si="1"/>
        <v>6234</v>
      </c>
      <c r="AI13" s="939">
        <f t="shared" si="1"/>
        <v>0</v>
      </c>
      <c r="AJ13" s="939">
        <f t="shared" si="1"/>
        <v>0</v>
      </c>
      <c r="AK13" s="939">
        <f t="shared" si="1"/>
        <v>0</v>
      </c>
      <c r="AL13" s="939">
        <f t="shared" si="1"/>
        <v>419</v>
      </c>
      <c r="AM13" s="939">
        <f t="shared" si="1"/>
        <v>1229</v>
      </c>
      <c r="AN13" s="939">
        <f t="shared" si="1"/>
        <v>0</v>
      </c>
      <c r="AO13" s="939">
        <f t="shared" si="1"/>
        <v>0</v>
      </c>
      <c r="AP13" s="944">
        <f>IF(ISNUMBER(((Datos!L13/Datos!K13)*11)/factor_trimestre),((Datos!L13/Datos!K13)*11)/factor_trimestre," - ")</f>
        <v>6.4556241101091603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v>
      </c>
      <c r="AU13" s="939" t="str">
        <f>IF(ISNUMBER((DatosP!#REF!-DatosP!#REF!+DatosP!#REF!)/(DatosP!#REF!+DatosP!#REF!-DatosP!#REF!-DatosP!#REF!)),(DatosP!#REF!-DatosP!#REF!+DatosP!#REF!)/(DatosP!#REF!+DatosP!#REF!-DatosP!#REF!-DatosP!#REF!)," - ")</f>
        <v xml:space="preserve"> - </v>
      </c>
      <c r="AV13" s="945">
        <f>SUBTOTAL(9,AV9:AV12)</f>
        <v>-1.9212295869356388E-3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2.8516483516483517</v>
      </c>
      <c r="AQ18" s="944">
        <f>IF(ISNUMBER(((Datos!M18/Datos!L18)*11)/factor_trimestre),((Datos!M18/Datos!L18)*11)/factor_trimestre," - ")</f>
        <v>0.49088483770564695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5.0653594771241831E-2</v>
      </c>
      <c r="AW18" s="946">
        <f>IF(ISNUMBER((Datos!Q18-Datos!R18)/(Datos!S18-Datos!Q18+Datos!R18)),(Datos!Q18-Datos!R18)/(Datos!S18-Datos!Q18+Datos!R18)," - ")</f>
        <v>-0.2149576669802446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50</v>
      </c>
      <c r="G19" s="951">
        <f t="shared" si="4"/>
        <v>50</v>
      </c>
      <c r="H19" s="951">
        <f t="shared" si="4"/>
        <v>0</v>
      </c>
      <c r="I19" s="952">
        <f t="shared" si="4"/>
        <v>0</v>
      </c>
      <c r="J19" s="953">
        <f t="shared" si="4"/>
        <v>0</v>
      </c>
      <c r="K19" s="953">
        <f t="shared" si="4"/>
        <v>0</v>
      </c>
      <c r="L19" s="953">
        <f t="shared" si="4"/>
        <v>0</v>
      </c>
      <c r="M19" s="953">
        <f t="shared" si="4"/>
        <v>0</v>
      </c>
      <c r="N19" s="952">
        <f t="shared" si="4"/>
        <v>486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494</v>
      </c>
      <c r="AE19" s="957">
        <f t="shared" si="5"/>
        <v>0</v>
      </c>
      <c r="AF19" s="958">
        <f t="shared" si="5"/>
        <v>52</v>
      </c>
      <c r="AG19" s="958">
        <f t="shared" si="5"/>
        <v>0</v>
      </c>
      <c r="AH19" s="958">
        <f t="shared" si="5"/>
        <v>6234</v>
      </c>
      <c r="AI19" s="958">
        <f t="shared" si="5"/>
        <v>0</v>
      </c>
      <c r="AJ19" s="959">
        <f t="shared" si="5"/>
        <v>0</v>
      </c>
      <c r="AK19" s="959">
        <f t="shared" si="5"/>
        <v>0</v>
      </c>
      <c r="AL19" s="951">
        <f t="shared" si="5"/>
        <v>419</v>
      </c>
      <c r="AM19" s="951">
        <f t="shared" si="5"/>
        <v>1229</v>
      </c>
      <c r="AN19" s="951">
        <f t="shared" si="5"/>
        <v>0</v>
      </c>
      <c r="AO19" s="951">
        <f t="shared" si="5"/>
        <v>0</v>
      </c>
      <c r="AP19" s="951">
        <f>IF(ISNUMBER(((Datos!L19/Datos!K19)*11)/factor_trimestre),((Datos!L19/Datos!K19)*11)/factor_trimestre," - ")</f>
        <v>4.549295774647887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2.1679433444139326E-3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236.77063444045027</v>
      </c>
      <c r="AM21" s="736"/>
      <c r="AN21" s="736">
        <f>IF(ISNUMBER(STDEV(AN8:AN18)),STDEV(AN8:AN18),"-")</f>
        <v>0</v>
      </c>
      <c r="AO21" s="742">
        <f>IF(ISNUMBER(STDEV(AO8:AO18)),STDEV(AO8:AO18),"-")</f>
        <v>0</v>
      </c>
      <c r="AP21" s="779">
        <f>IF(ISNUMBER(STDEV(AP8:AP18)),STDEV(AP8:AP18),"-")</f>
        <v>1.6790618900088952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jHQZkNPHlzh3aBqOVZhMwBEo2IMDQEs5bUBNk9PyNwRNukOYm1xnyHPrKPivzx+Jnsz8dA6+7HJBH769Vv7TA==" saltValue="JVYlSZ0/kjqtTyTDxWfF9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ALCORCON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hw1w4NNtJ77M2sqpiJ9mvUPbCzhnN3uKpeCWFLikhOZauWCNp+C5YKxhVXwbePeUqTxHShZsFt3uGrpvmHIpA==" saltValue="aJ2HlAFXRq4YZz0araDD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ALCORCON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9</v>
      </c>
      <c r="G10" s="404">
        <f>IF(ISNUMBER(F10/B10),F10/B10," - ")</f>
        <v>9</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410</v>
      </c>
      <c r="E12" s="404">
        <f t="shared" si="0"/>
        <v>58.571428571428569</v>
      </c>
      <c r="F12" s="403">
        <f>IF(ISNUMBER(Datos!N12),Datos!N12," - ")</f>
        <v>1220</v>
      </c>
      <c r="G12" s="404">
        <f t="shared" si="1"/>
        <v>174.28571428571428</v>
      </c>
      <c r="H12" s="403">
        <f>IF(ISNUMBER(Datos!O12),Datos!O12," - ")</f>
        <v>774</v>
      </c>
      <c r="I12" s="404">
        <f t="shared" si="2"/>
        <v>110.57142857142857</v>
      </c>
      <c r="BZ12" s="1186">
        <f>Datos!EZ12</f>
        <v>0</v>
      </c>
    </row>
    <row r="13" spans="1:78" ht="14.25" thickTop="1" thickBot="1">
      <c r="A13" s="848" t="str">
        <f>Datos!A13</f>
        <v>TOTAL</v>
      </c>
      <c r="B13" s="849">
        <f>Datos!AP13</f>
        <v>8</v>
      </c>
      <c r="C13" s="851">
        <f>Datos!AR13</f>
        <v>8</v>
      </c>
      <c r="D13" s="849">
        <f>SUBTOTAL(9,D9:D12)</f>
        <v>419</v>
      </c>
      <c r="E13" s="850">
        <f t="shared" si="0"/>
        <v>52.375</v>
      </c>
      <c r="F13" s="849">
        <f>SUBTOTAL(9,F9:F12)</f>
        <v>1229</v>
      </c>
      <c r="G13" s="850">
        <f t="shared" si="1"/>
        <v>153.625</v>
      </c>
      <c r="H13" s="849">
        <f>SUBTOTAL(9,H9:H12)</f>
        <v>777</v>
      </c>
      <c r="I13" s="850">
        <f>IF(ISNUMBER(H13/B13),H13/B13," - ")</f>
        <v>97.125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360</v>
      </c>
      <c r="E16" s="404">
        <f t="shared" si="3"/>
        <v>51.428571428571431</v>
      </c>
      <c r="F16" s="403">
        <f>IF(ISNUMBER(Datos!N16),Datos!N16," - ")</f>
        <v>1231</v>
      </c>
      <c r="G16" s="404">
        <f t="shared" si="4"/>
        <v>175.85714285714286</v>
      </c>
      <c r="H16" s="403">
        <f>IF(ISNUMBER(Datos!O16),Datos!O16," - ")</f>
        <v>68</v>
      </c>
      <c r="I16" s="404">
        <f t="shared" si="5"/>
        <v>9.7142857142857135</v>
      </c>
      <c r="BZ16" s="1186">
        <f>Datos!EZ16</f>
        <v>0</v>
      </c>
    </row>
    <row r="17" spans="1:78" ht="13.5" thickBot="1">
      <c r="A17" s="402" t="str">
        <f>Datos!A17</f>
        <v>Jdos. Violencia contra la mujer</v>
      </c>
      <c r="B17" s="427">
        <f>Datos!AO17</f>
        <v>1</v>
      </c>
      <c r="C17" s="428">
        <f>Datos!AQ17</f>
        <v>1</v>
      </c>
      <c r="D17" s="403">
        <f>IF(ISNUMBER(Datos!M17),Datos!M17," - ")</f>
        <v>8</v>
      </c>
      <c r="E17" s="404">
        <f>IF(ISNUMBER(D17/B17),D17/B17," - ")</f>
        <v>8</v>
      </c>
      <c r="F17" s="403">
        <f>IF(ISNUMBER(Datos!N17),Datos!N17," - ")</f>
        <v>99</v>
      </c>
      <c r="G17" s="404">
        <f>IF(ISNUMBER(F17/B17),F17/B17," - ")</f>
        <v>99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368</v>
      </c>
      <c r="E18" s="850">
        <f t="shared" si="3"/>
        <v>46</v>
      </c>
      <c r="F18" s="849">
        <f>SUBTOTAL(9,F15:F17)</f>
        <v>1330</v>
      </c>
      <c r="G18" s="850">
        <f t="shared" si="4"/>
        <v>166.25</v>
      </c>
      <c r="H18" s="849">
        <f>SUBTOTAL(9,H15:H17)</f>
        <v>68</v>
      </c>
      <c r="I18" s="850">
        <f>IF(ISNUMBER(H18/B18),H18/B18," - ")</f>
        <v>8.5</v>
      </c>
      <c r="BZ18" s="1186"/>
    </row>
    <row r="19" spans="1:78" ht="14.25" thickTop="1" thickBot="1">
      <c r="A19" s="793" t="str">
        <f>Datos!A19</f>
        <v>TOTAL JURISDICCIONES</v>
      </c>
      <c r="B19" s="794">
        <f>Datos!AP19</f>
        <v>8</v>
      </c>
      <c r="C19" s="794">
        <f>Datos!AR19</f>
        <v>8</v>
      </c>
      <c r="D19" s="794">
        <f>SUBTOTAL(9,D8:D18)</f>
        <v>787</v>
      </c>
      <c r="E19" s="795">
        <f>IF(ISNUMBER(D19/B19),D19/B19," - ")</f>
        <v>98.375</v>
      </c>
      <c r="F19" s="794">
        <f>SUBTOTAL(9,F8:F18)</f>
        <v>2559</v>
      </c>
      <c r="G19" s="795">
        <f>IF(ISNUMBER(F19/B19),F19/B19," - ")</f>
        <v>319.875</v>
      </c>
      <c r="H19" s="794">
        <f>SUBTOTAL(9,H8:H18)</f>
        <v>845</v>
      </c>
      <c r="I19" s="795">
        <f>IF(ISNUMBER(H19/B19),H19/B19," - ")</f>
        <v>105.625</v>
      </c>
    </row>
    <row r="22" spans="1:78">
      <c r="A22" s="391" t="str">
        <f>Criterios!A4</f>
        <v>Fecha Informe: 24 sep. 2024</v>
      </c>
    </row>
    <row r="27" spans="1:78">
      <c r="A27" s="414"/>
    </row>
  </sheetData>
  <sheetProtection algorithmName="SHA-512" hashValue="xSZp7ul7DOh/MBN6dvtgpGFkFNS1DC7ta5TKzzrh50JeW19WZwywZfFml1BKNlROij7KchSqL6TJvOxu5xO8/Q==" saltValue="//RjeHt7Nc99NFrh7/4U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ALCORCON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8</v>
      </c>
      <c r="D10" s="408">
        <f>IF(ISNUMBER(Datos!R10),Datos!R10," - ")</f>
        <v>57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482</v>
      </c>
      <c r="C12" s="434">
        <f>IF(ISNUMBER(Datos!Q12),Datos!Q12," - ")</f>
        <v>494</v>
      </c>
      <c r="D12" s="408">
        <f>IF(ISNUMBER(Datos!R12),Datos!R12," - ")</f>
        <v>6234</v>
      </c>
    </row>
    <row r="13" spans="1:4" ht="14.25" thickTop="1" thickBot="1">
      <c r="A13" s="848" t="str">
        <f>Datos!A13</f>
        <v>TOTAL</v>
      </c>
      <c r="B13" s="849">
        <f>SUBTOTAL(9,B9:B12)</f>
        <v>486</v>
      </c>
      <c r="C13" s="853">
        <f>SUBTOTAL(9,C9:C12)</f>
        <v>502</v>
      </c>
      <c r="D13" s="851">
        <f>SUBTOTAL(9,D9:D12)</f>
        <v>6291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216</v>
      </c>
      <c r="C16" s="434">
        <f>IF(ISNUMBER(Datos!Q16),Datos!Q16," - ")</f>
        <v>185</v>
      </c>
      <c r="D16" s="408">
        <f>IF(ISNUMBER(Datos!R16),Datos!R16," - ")</f>
        <v>637</v>
      </c>
    </row>
    <row r="17" spans="1:4" ht="13.5" thickBot="1">
      <c r="A17" s="402" t="str">
        <f>Datos!A17</f>
        <v>Jdos. Violencia contra la mujer</v>
      </c>
      <c r="B17" s="433">
        <f>IF(ISNUMBER(Datos!P17),Datos!P17," - ")</f>
        <v>1</v>
      </c>
      <c r="C17" s="434">
        <f>IF(ISNUMBER(Datos!Q17),Datos!Q17," - ")</f>
        <v>1</v>
      </c>
      <c r="D17" s="408">
        <f>IF(ISNUMBER(Datos!R17),Datos!R17," - ")</f>
        <v>6</v>
      </c>
    </row>
    <row r="18" spans="1:4" ht="14.25" thickTop="1" thickBot="1">
      <c r="A18" s="848" t="str">
        <f>Datos!A18</f>
        <v>TOTAL</v>
      </c>
      <c r="B18" s="849">
        <f>SUBTOTAL(9,B15:B17)</f>
        <v>217</v>
      </c>
      <c r="C18" s="853">
        <f>SUBTOTAL(9,C15:C17)</f>
        <v>186</v>
      </c>
      <c r="D18" s="851">
        <f>SUBTOTAL(9,D15:D17)</f>
        <v>643</v>
      </c>
    </row>
    <row r="19" spans="1:4" ht="16.5" customHeight="1" thickTop="1" thickBot="1">
      <c r="A19" s="793" t="str">
        <f>Datos!A19</f>
        <v>TOTAL JURISDICCIONES</v>
      </c>
      <c r="B19" s="798">
        <f>SUBTOTAL(9,B8:B18)</f>
        <v>703</v>
      </c>
      <c r="C19" s="799">
        <f>SUBTOTAL(9,C8:C18)</f>
        <v>688</v>
      </c>
      <c r="D19" s="800">
        <f>SUBTOTAL(9,D8:D18)</f>
        <v>6934</v>
      </c>
    </row>
    <row r="20" spans="1:4" ht="7.5" customHeight="1"/>
    <row r="21" spans="1:4" ht="6" customHeight="1"/>
    <row r="22" spans="1:4">
      <c r="A22" s="391" t="str">
        <f>Criterios!A4</f>
        <v>Fecha Informe: 24 sep. 2024</v>
      </c>
    </row>
    <row r="27" spans="1:4">
      <c r="A27" s="414"/>
    </row>
  </sheetData>
  <sheetProtection algorithmName="SHA-512" hashValue="vouGSKxLNcAosf7SWScOAanZ8U+QHqJA7y350xOWkr22OD1dYKkHqD50YI7YLzsgHRoCREZyte9EfdsD0ei1qA==" saltValue="ts+WTuILQvzab4grMxJc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ALCORCON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4.1666666666666664E-2</v>
      </c>
      <c r="C10" s="456">
        <f>IF(ISNUMBER((Datos!J10-Datos!T10)/Datos!T10),(Datos!J10-Datos!T10)/Datos!T10," - ")</f>
        <v>0.6470588235294118</v>
      </c>
      <c r="D10" s="456">
        <f>IF(ISNUMBER((Datos!K10-Datos!U10)/Datos!U10),(Datos!K10-Datos!U10)/Datos!U10," - ")</f>
        <v>-0.27777777777777779</v>
      </c>
      <c r="E10" s="456">
        <f>IF(ISNUMBER((Datos!L10-Datos!V10)/Datos!V10),(Datos!L10-Datos!V10)/Datos!V10," - ")</f>
        <v>0.7931034482758621</v>
      </c>
      <c r="F10" s="456">
        <f>IF(ISNUMBER((Datos!M10-Datos!W10)/Datos!W10),(Datos!M10-Datos!W10)/Datos!W10," - ")</f>
        <v>-0.5</v>
      </c>
      <c r="G10" s="457">
        <f>IF(ISNUMBER((Datos!N10-Datos!X10)/Datos!X10),(Datos!N10-Datos!X10)/Datos!X10," - ")</f>
        <v>0.125</v>
      </c>
      <c r="H10" s="455">
        <f>IF(ISNUMBER(((NºAsuntos!G10/NºAsuntos!E10)-Datos!BD10)/Datos!BD10),((NºAsuntos!G10/NºAsuntos!E10)-Datos!BD10)/Datos!BD10," - ")</f>
        <v>-0.56150793650793651</v>
      </c>
      <c r="I10" s="456">
        <f>IF(ISNUMBER(((NºAsuntos!I10/NºAsuntos!G10)-Datos!BE10)/Datos!BE10),((NºAsuntos!I10/NºAsuntos!G10)-Datos!BE10)/Datos!BE10," - ")</f>
        <v>1.482758620689655</v>
      </c>
      <c r="J10" s="461">
        <f>IF(ISNUMBER((('Resol  Asuntos'!D10/NºAsuntos!G10)-Datos!BF10)/Datos!BF10),(('Resol  Asuntos'!D10/NºAsuntos!G10)-Datos!BF10)/Datos!BF10," - ")</f>
        <v>-0.30769230769230771</v>
      </c>
      <c r="K10" s="462">
        <f>IF(ISNUMBER((((NºAsuntos!C10+NºAsuntos!E10)/NºAsuntos!G10)-Datos!BG10)/Datos!BG10),(((NºAsuntos!C10+NºAsuntos!E10)/NºAsuntos!G10)-Datos!BG10)/Datos!BG10," - ")</f>
        <v>0.66153846153846152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0.23774145616641901</v>
      </c>
      <c r="C12" s="456">
        <f>IF(ISNUMBER(
   IF(J_V="SI",(Datos!J12-Datos!T12)/Datos!T12,(Datos!J12+Datos!Z12-(Datos!T12+Datos!AH12))/(Datos!T12+Datos!AH12))
     ),IF(J_V="SI",(Datos!J12-Datos!T12)/Datos!T12,(Datos!J12+Datos!Z12-(Datos!T12+Datos!AH12))/(Datos!T12+Datos!AH12))," - ")</f>
        <v>0.35396904643035448</v>
      </c>
      <c r="D12" s="456">
        <f>IF(ISNUMBER(
   IF(J_V="SI",(Datos!K12-Datos!U12)/Datos!U12,(Datos!K12+Datos!AA12-(Datos!U12+Datos!AI12))/(Datos!U12+Datos!AI12))
     ),IF(J_V="SI",(Datos!K12-Datos!U12)/Datos!U12,(Datos!K12+Datos!AA12-(Datos!U12+Datos!AI12))/(Datos!U12+Datos!AI12))," - ")</f>
        <v>0.20937666489078316</v>
      </c>
      <c r="E12" s="456">
        <f>IF(ISNUMBER(
   IF(J_V="SI",(Datos!L12-Datos!V12)/Datos!V12,(Datos!L12+Datos!AB12-(Datos!V12+Datos!AJ12))/(Datos!V12+Datos!AJ12))
     ),IF(J_V="SI",(Datos!L12-Datos!V12)/Datos!V12,(Datos!L12+Datos!AB12-(Datos!V12+Datos!AJ12))/(Datos!V12+Datos!AJ12))," - ")</f>
        <v>0.27942398227637771</v>
      </c>
      <c r="F12" s="456">
        <f>IF(ISNUMBER((Datos!M12-Datos!W12)/Datos!W12),(Datos!M12-Datos!W12)/Datos!W12," - ")</f>
        <v>0.21661721068249259</v>
      </c>
      <c r="G12" s="457">
        <f>IF(ISNUMBER((Datos!N12-Datos!X12)/Datos!X12),(Datos!N12-Datos!X12)/Datos!X12," - ")</f>
        <v>0.25</v>
      </c>
      <c r="H12" s="455">
        <f>IF(ISNUMBER(((NºAsuntos!G12/NºAsuntos!E12)-Datos!BD12)/Datos!BD12),((NºAsuntos!G12/NºAsuntos!E12)-Datos!BD12)/Datos!BD12," - ")</f>
        <v>-0.10679149713265536</v>
      </c>
      <c r="I12" s="456">
        <f>IF(ISNUMBER(((NºAsuntos!I12/NºAsuntos!G12)-Datos!BE12)/Datos!BE12),((NºAsuntos!I12/NºAsuntos!G12)-Datos!BE12)/Datos!BE12," - ")</f>
        <v>5.7920182701656719E-2</v>
      </c>
      <c r="J12" s="461">
        <f>IF(ISNUMBER((('Resol  Asuntos'!D12/NºAsuntos!G12)-Datos!BF12)/Datos!BF12),(('Resol  Asuntos'!D12/NºAsuntos!G12)-Datos!BF12)/Datos!BF12," - ")</f>
        <v>-0.6526458799740017</v>
      </c>
      <c r="K12" s="462">
        <f>IF(ISNUMBER((((NºAsuntos!C12+NºAsuntos!E12)/NºAsuntos!G12)-Datos!BG12)/Datos!BG12),(((NºAsuntos!C12+NºAsuntos!E12)/NºAsuntos!G12)-Datos!BG12)/Datos!BG12," - ")</f>
        <v>5.9314538101459383E-2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0.23498388514503368</v>
      </c>
      <c r="C13" s="855">
        <f>IF(ISNUMBER(
   IF(J_V="SI",(Datos!J13-Datos!T13)/Datos!T13,(Datos!J13+Datos!Z13-(Datos!T13+Datos!AH13))/(Datos!T13+Datos!AH13))
     ),IF(J_V="SI",(Datos!J13-Datos!T13)/Datos!T13,(Datos!J13+Datos!Z13-(Datos!T13+Datos!AH13))/(Datos!T13+Datos!AH13))," - ")</f>
        <v>0.35643564356435642</v>
      </c>
      <c r="D13" s="855">
        <f>IF(ISNUMBER(
   IF(J_V="SI",(Datos!K13-Datos!U13)/Datos!U13,(Datos!K13+Datos!AA13-(Datos!U13+Datos!AI13))/(Datos!U13+Datos!AI13))
     ),IF(J_V="SI",(Datos!K13-Datos!U13)/Datos!U13,(Datos!K13+Datos!AA13-(Datos!U13+Datos!AI13))/(Datos!U13+Datos!AI13))," - ")</f>
        <v>0.20020909566126502</v>
      </c>
      <c r="E13" s="855">
        <f>IF(ISNUMBER(
   IF(J_V="SI",(Datos!L13-Datos!V13)/Datos!V13,(Datos!L13+Datos!AB13-(Datos!V13+Datos!AJ13))/(Datos!V13+Datos!AJ13))
     ),IF(J_V="SI",(Datos!L13-Datos!V13)/Datos!V13,(Datos!L13+Datos!AB13-(Datos!V13+Datos!AJ13))/(Datos!V13+Datos!AJ13))," - ")</f>
        <v>0.28351648351648351</v>
      </c>
      <c r="F13" s="856">
        <f>IF(ISNUMBER((Datos!M13-Datos!W13)/Datos!W13),(Datos!M13-Datos!W13)/Datos!W13," - ")</f>
        <v>0.18028169014084508</v>
      </c>
      <c r="G13" s="857">
        <f>IF(ISNUMBER((Datos!N13-Datos!X13)/Datos!X13),(Datos!N13-Datos!X13)/Datos!X13," - ")</f>
        <v>0.24898373983739838</v>
      </c>
      <c r="H13" s="857">
        <f>IF(ISNUMBER(((NºAsuntos!G13/NºAsuntos!E13)-Datos!BD13)/Datos!BD13),((NºAsuntos!G13/NºAsuntos!E13)-Datos!BD13)/Datos!BD13," - ")</f>
        <v>-0.11517431633731548</v>
      </c>
      <c r="I13" s="857">
        <f>IF(ISNUMBER(((NºAsuntos!I13/NºAsuntos!G13)-Datos!BE13)/Datos!BE13),((NºAsuntos!I13/NºAsuntos!G13)-Datos!BE13)/Datos!BE13," - ")</f>
        <v>6.9410728644178146E-2</v>
      </c>
      <c r="J13" s="857">
        <f>IF(ISNUMBER((('Resol  Asuntos'!D13/NºAsuntos!G13)-Datos!BF13)/Datos!BF13),(('Resol  Asuntos'!D13/NºAsuntos!G13)-Datos!BF13)/Datos!BF13," - ")</f>
        <v>-0.64878688507350735</v>
      </c>
      <c r="K13" s="857">
        <f>IF(ISNUMBER((((NºAsuntos!C13+NºAsuntos!E13)/NºAsuntos!G13)-Datos!BG13)/Datos!BG13),(((NºAsuntos!C13+NºAsuntos!E13)/NºAsuntos!G13)-Datos!BG13)/Datos!BG13," - ")</f>
        <v>6.6597387497105962E-2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0.36222509702457956</v>
      </c>
      <c r="C16" s="456">
        <f>IF(ISNUMBER(
   IF(D_I="SI",(Datos!J16-Datos!T16)/Datos!T16,(Datos!J16+Datos!AD16-(Datos!T16+Datos!AL16))/(Datos!T16+Datos!AL16))
     ),IF(D_I="SI",(Datos!J16-Datos!T16)/Datos!T16,(Datos!J16+Datos!AD16-(Datos!T16+Datos!AL16))/(Datos!T16+Datos!AL16))," - ")</f>
        <v>3.8480272771553824E-2</v>
      </c>
      <c r="D16" s="456">
        <f>IF(ISNUMBER(
   IF(D_I="SI",(Datos!K16-Datos!U16)/Datos!U16,(Datos!K16+Datos!AE16-(Datos!U16+Datos!AM16))/(Datos!U16+Datos!AM16))
     ),IF(D_I="SI",(Datos!K16-Datos!U16)/Datos!U16,(Datos!K16+Datos!AE16-(Datos!U16+Datos!AM16))/(Datos!U16+Datos!AM16))," - ")</f>
        <v>0.10173824130879346</v>
      </c>
      <c r="E16" s="456">
        <f>IF(ISNUMBER(
   IF(D_I="SI",(Datos!L16-Datos!V16)/Datos!V16,(Datos!L16+Datos!AF16-(Datos!V16+Datos!AN16))/(Datos!V16+Datos!AN16))
     ),IF(D_I="SI",(Datos!L16-Datos!V16)/Datos!V16,(Datos!L16+Datos!AF16-(Datos!V16+Datos!AN16))/(Datos!V16+Datos!AN16))," - ")</f>
        <v>0.22679200940070504</v>
      </c>
      <c r="F16" s="456">
        <f>IF(ISNUMBER((Datos!M16-Datos!W16)/Datos!W16),(Datos!M16-Datos!W16)/Datos!W16," - ")</f>
        <v>6.8249258160237386E-2</v>
      </c>
      <c r="G16" s="457">
        <f>IF(ISNUMBER((Datos!N16-Datos!X16)/Datos!X16),(Datos!N16-Datos!X16)/Datos!X16," - ")</f>
        <v>8.3626760563380281E-2</v>
      </c>
      <c r="H16" s="455">
        <f>IF(ISNUMBER(((NºAsuntos!G16/NºAsuntos!E16)-Datos!BD16)/Datos!BD16),((NºAsuntos!G16/NºAsuntos!E16)-Datos!BD16)/Datos!BD16," - ")</f>
        <v>6.0913981898195559E-2</v>
      </c>
      <c r="I16" s="456">
        <f>IF(ISNUMBER(((NºAsuntos!I16/NºAsuntos!G16)-Datos!BE16)/Datos!BE16),((NºAsuntos!I16/NºAsuntos!G16)-Datos!BE16)/Datos!BE16," - ")</f>
        <v>0.11350587953029187</v>
      </c>
      <c r="J16" s="461">
        <f>IF(ISNUMBER((('Resol  Asuntos'!D16/NºAsuntos!G16)-Datos!BF16)/Datos!BF16),(('Resol  Asuntos'!D16/NºAsuntos!G16)-Datos!BF16)/Datos!BF16," - ")</f>
        <v>-3.0396497001659258E-2</v>
      </c>
      <c r="K16" s="462">
        <f>IF(ISNUMBER((((NºAsuntos!C16+NºAsuntos!E16)/NºAsuntos!G16)-Datos!BG16)/Datos!BG16),(((NºAsuntos!C16+NºAsuntos!E16)/NºAsuntos!G16)-Datos!BG16)/Datos!BG16," - ")</f>
        <v>6.8810426201142416E-2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0.16260162601626016</v>
      </c>
      <c r="C17" s="456">
        <f>IF(ISNUMBER(
   IF(D_I="SI",(Datos!J17-Datos!T17)/Datos!T17,(Datos!J17+Datos!AD17-(Datos!T17+Datos!AL17))/(Datos!T17+Datos!AL17))
     ),IF(D_I="SI",(Datos!J17-Datos!T17)/Datos!T17,(Datos!J17+Datos!AD17-(Datos!T17+Datos!AL17))/(Datos!T17+Datos!AL17))," - ")</f>
        <v>0.18229166666666666</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0.49074074074074076</v>
      </c>
      <c r="F17" s="456">
        <f>IF(ISNUMBER((Datos!M17-Datos!W17)/Datos!W17),(Datos!M17-Datos!W17)/Datos!W17," - ")</f>
        <v>-0.2</v>
      </c>
      <c r="G17" s="457">
        <f>IF(ISNUMBER((Datos!N17-Datos!X17)/Datos!X17),(Datos!N17-Datos!X17)/Datos!X17," - ")</f>
        <v>-0.01</v>
      </c>
      <c r="H17" s="455">
        <f>IF(ISNUMBER(((NºAsuntos!G17/NºAsuntos!E17)-Datos!BD17)/Datos!BD17),((NºAsuntos!G17/NºAsuntos!E17)-Datos!BD17)/Datos!BD17," - ")</f>
        <v>-0.15418502202643167</v>
      </c>
      <c r="I17" s="456">
        <f>IF(ISNUMBER(((NºAsuntos!I17/NºAsuntos!G17)-Datos!BE17)/Datos!BE17),((NºAsuntos!I17/NºAsuntos!G17)-Datos!BE17)/Datos!BE17," - ")</f>
        <v>0.49074074074074087</v>
      </c>
      <c r="J17" s="461">
        <f>IF(ISNUMBER((('Resol  Asuntos'!D17/NºAsuntos!G17)-Datos!BF17)/Datos!BF17),(('Resol  Asuntos'!D17/NºAsuntos!G17)-Datos!BF17)/Datos!BF17," - ")</f>
        <v>-0.19999999999999987</v>
      </c>
      <c r="K17" s="462">
        <f>IF(ISNUMBER((((NºAsuntos!C17+NºAsuntos!E17)/NºAsuntos!G17)-Datos!BG17)/Datos!BG17),(((NºAsuntos!C17+NºAsuntos!E17)/NºAsuntos!G17)-Datos!BG17)/Datos!BG17," - ")</f>
        <v>0.17460317460317454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0.347513481126423</v>
      </c>
      <c r="C18" s="855">
        <f>IF(ISNUMBER(
   IF(Criterios!B14="SI",(Datos!J18-Datos!T18)/Datos!T18,(Datos!J18+Datos!AD18-(Datos!T18+Datos!AL18))/(Datos!T18+Datos!AL18))
     ),IF(Criterios!B14="SI",(Datos!J18-Datos!T18)/Datos!T18,(Datos!J18+Datos!AD18-(Datos!T18+Datos!AL18))/(Datos!T18+Datos!AL18))," - ")</f>
        <v>5.0779510022271712E-2</v>
      </c>
      <c r="D18" s="855">
        <f>IF(ISNUMBER(
   IF(Criterios!B14="SI",(Datos!K18-Datos!U18)/Datos!U18,(Datos!K18+Datos!AE18-(Datos!U18+Datos!AM18))/(Datos!U18+Datos!AM18))
     ),IF(Criterios!B14="SI",(Datos!K18-Datos!U18)/Datos!U18,(Datos!K18+Datos!AE18-(Datos!U18+Datos!AM18))/(Datos!U18+Datos!AM18))," - ")</f>
        <v>9.183202584217813E-2</v>
      </c>
      <c r="E18" s="855">
        <f>IF(ISNUMBER(
   IF(Criterios!B14="SI",(Datos!L18-Datos!V18)/Datos!V18,(Datos!L18+Datos!AF18-(Datos!V18+Datos!AN18))/(Datos!V18+Datos!AN18))
     ),IF(Criterios!B14="SI",(Datos!L18-Datos!V18)/Datos!V18,(Datos!L18+Datos!AF18-(Datos!V18+Datos!AN18))/(Datos!V18+Datos!AN18))," - ")</f>
        <v>0.24254143646408841</v>
      </c>
      <c r="F18" s="856">
        <f>IF(ISNUMBER((Datos!M18-Datos!W18)/Datos!W18),(Datos!M18-Datos!W18)/Datos!W18," - ")</f>
        <v>6.0518731988472622E-2</v>
      </c>
      <c r="G18" s="857">
        <f>IF(ISNUMBER((Datos!N18-Datos!X18)/Datos!X18),(Datos!N18-Datos!X18)/Datos!X18," - ")</f>
        <v>7.605177993527508E-2</v>
      </c>
      <c r="H18" s="857">
        <f>IF(ISNUMBER(((NºAsuntos!G18/NºAsuntos!E18)-Datos!BD18)/Datos!BD18),((NºAsuntos!G18/NºAsuntos!E18)-Datos!BD18)/Datos!BD18," - ")</f>
        <v>3.9068629934586589E-2</v>
      </c>
      <c r="I18" s="857">
        <f>IF(ISNUMBER(((NºAsuntos!I18/NºAsuntos!G18)-Datos!BE18)/Datos!BE18),((NºAsuntos!I18/NºAsuntos!G18)-Datos!BE18)/Datos!BE18," - ")</f>
        <v>0.13803351344787809</v>
      </c>
      <c r="J18" s="857">
        <f>IF(ISNUMBER((('Resol  Asuntos'!D18/NºAsuntos!G18)-Datos!BF18)/Datos!BF18),(('Resol  Asuntos'!D18/NºAsuntos!G18)-Datos!BF18)/Datos!BF18," - ")</f>
        <v>-2.8679589087480768E-2</v>
      </c>
      <c r="K18" s="857">
        <f>IF(ISNUMBER((((NºAsuntos!C18+NºAsuntos!E18)/NºAsuntos!G18)-Datos!BG18)/Datos!BG18),(((NºAsuntos!C18+NºAsuntos!E18)/NºAsuntos!G18)-Datos!BG18)/Datos!BG18," - ")</f>
        <v>7.8290602130073855E-2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0.27194018103109013</v>
      </c>
      <c r="C19" s="802">
        <f>IF(ISNUMBER(
   IF(J_V="SI",(Datos!J19-Datos!T19)/Datos!T19,(Datos!J19+Datos!Z19-(Datos!T19+Datos!AH19))/(Datos!T19+Datos!AH19))
     ),IF(J_V="SI",(Datos!J19-Datos!T19)/Datos!T19,(Datos!J19+Datos!Z19-(Datos!T19+Datos!AH19))/(Datos!T19+Datos!AH19))," - ")</f>
        <v>0.19554513481828839</v>
      </c>
      <c r="D19" s="802">
        <f>IF(ISNUMBER(
   IF(J_V="SI",(Datos!K19-Datos!U19)/Datos!U19,(Datos!K19+Datos!AA19-(Datos!U19+Datos!AI19))/(Datos!U19+Datos!AI19))
     ),IF(J_V="SI",(Datos!K19-Datos!U19)/Datos!U19,(Datos!K19+Datos!AA19-(Datos!U19+Datos!AI19))/(Datos!U19+Datos!AI19))," - ")</f>
        <v>0.1426470588235294</v>
      </c>
      <c r="E19" s="802">
        <f>IF(ISNUMBER(
   IF(J_V="SI",(Datos!L19-Datos!V19)/Datos!V19,(Datos!L19+Datos!AB19-(Datos!V19+Datos!AJ19))/(Datos!V19+Datos!AJ19))
     ),IF(J_V="SI",(Datos!L19-Datos!V19)/Datos!V19,(Datos!L19+Datos!AB19-(Datos!V19+Datos!AJ19))/(Datos!V19+Datos!AJ19))," - ")</f>
        <v>0.26990825688073394</v>
      </c>
      <c r="F19" s="803">
        <f>IF(ISNUMBER((Datos!M19-Datos!W19)/Datos!W19),(Datos!M19-Datos!W19)/Datos!W19," - ")</f>
        <v>0.12108262108262108</v>
      </c>
      <c r="G19" s="804">
        <f>IF(ISNUMBER((Datos!N19-Datos!X19)/Datos!X19),(Datos!N19-Datos!X19)/Datos!X19," - ")</f>
        <v>0.1527027027027027</v>
      </c>
      <c r="H19" s="805">
        <f>IF(ISNUMBER((Tasas!B19-Datos!BD19)/Datos!BD19),(Tasas!B19-Datos!BD19)/Datos!BD19," - ")</f>
        <v>-4.4245988256059368E-2</v>
      </c>
      <c r="I19" s="806">
        <f>IF(ISNUMBER((Tasas!C19-Datos!BE19)/Datos!BE19),(Tasas!C19-Datos!BE19)/Datos!BE19," - ")</f>
        <v>0.11137402146576468</v>
      </c>
      <c r="J19" s="807">
        <f>IF(ISNUMBER((Tasas!D19-Datos!BF19)/Datos!BF19),(Tasas!D19-Datos!BF19)/Datos!BF19," - ")</f>
        <v>-0.48638955350364743</v>
      </c>
      <c r="K19" s="807">
        <f>IF(ISNUMBER((Tasas!E19-Datos!BG19)/Datos!BG19),(Tasas!E19-Datos!BG19)/Datos!BG19," - ")</f>
        <v>8.2645255107007431E-2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2Ml850dxHZL/O3ETP7yxMJMJEw1zD/S924rrlm6fp55CF2cnkyFG4hjlAxtvuDLBqYmmjYyXj2jN23ET68nxg==" saltValue="lkWxceOFZ2AbRfajbgyT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ALCORCON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0.9285714285714286</v>
      </c>
      <c r="C10" s="443">
        <f>IF(ISNUMBER(NºAsuntos!I10/NºAsuntos!G10),NºAsuntos!I10/NºAsuntos!G10," - ")</f>
        <v>2</v>
      </c>
      <c r="D10" s="444">
        <f>IF(ISNUMBER('Resol  Asuntos'!D10/NºAsuntos!G10),'Resol  Asuntos'!D10/NºAsuntos!G10," - ")</f>
        <v>0.34615384615384615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0.83702064896755157</v>
      </c>
      <c r="C12" s="443">
        <f>IF(ISNUMBER(NºAsuntos!I12/NºAsuntos!G12),NºAsuntos!I12/NºAsuntos!G12," - ")</f>
        <v>2.0352422907488985</v>
      </c>
      <c r="D12" s="444">
        <f>IF(ISNUMBER('Resol  Asuntos'!D12/NºAsuntos!G12),'Resol  Asuntos'!D12/NºAsuntos!G12," - ")</f>
        <v>0.18061674008810572</v>
      </c>
      <c r="E12" s="445">
        <f>IF(ISNUMBER((NºAsuntos!C12+NºAsuntos!E12)/NºAsuntos!G12),(NºAsuntos!C12+NºAsuntos!E12)/NºAsuntos!G12," - ")</f>
        <v>3.0295154185022026</v>
      </c>
      <c r="G12" s="463"/>
    </row>
    <row r="13" spans="1:7" ht="14.25" thickTop="1" thickBot="1">
      <c r="A13" s="848" t="str">
        <f>Datos!A13</f>
        <v>TOTAL</v>
      </c>
      <c r="B13" s="858">
        <f>IF(ISNUMBER(NºAsuntos!G13/NºAsuntos!E13),NºAsuntos!G13/NºAsuntos!E13," - ")</f>
        <v>0.83795620437956209</v>
      </c>
      <c r="C13" s="859">
        <f>IF(ISNUMBER(NºAsuntos!I13/NºAsuntos!G13),NºAsuntos!I13/NºAsuntos!G13," - ")</f>
        <v>2.034843205574913</v>
      </c>
      <c r="D13" s="860">
        <f>IF(ISNUMBER('Resol  Asuntos'!D13/NºAsuntos!G13),'Resol  Asuntos'!D13/NºAsuntos!G13," - ")</f>
        <v>0.18249128919860627</v>
      </c>
      <c r="E13" s="861">
        <f>IF(ISNUMBER((NºAsuntos!C13+NºAsuntos!E13)/NºAsuntos!G13),(NºAsuntos!C13+NºAsuntos!E13)/NºAsuntos!G13," - ")</f>
        <v>3.0291811846689893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1.0107879924953096</v>
      </c>
      <c r="C16" s="443">
        <f>IF(ISNUMBER(NºAsuntos!I16/NºAsuntos!G16),NºAsuntos!I16/NºAsuntos!G16," - ")</f>
        <v>0.96890951276102089</v>
      </c>
      <c r="D16" s="444">
        <f>IF(ISNUMBER('Resol  Asuntos'!D16/NºAsuntos!G16),'Resol  Asuntos'!D16/NºAsuntos!G16," - ")</f>
        <v>0.16705336426914152</v>
      </c>
      <c r="E16" s="445">
        <f>IF(ISNUMBER((NºAsuntos!C16+NºAsuntos!E16)/NºAsuntos!G16),(NºAsuntos!C16+NºAsuntos!E16)/NºAsuntos!G16," - ")</f>
        <v>1.9665893271461716</v>
      </c>
      <c r="G16" s="463"/>
    </row>
    <row r="17" spans="1:7" ht="13.5" thickBot="1">
      <c r="A17" s="402" t="str">
        <f>Datos!A17</f>
        <v>Jdos. Violencia contra la mujer</v>
      </c>
      <c r="B17" s="442">
        <f>IF(ISNUMBER(NºAsuntos!G17/NºAsuntos!E17),NºAsuntos!G17/NºAsuntos!E17," - ")</f>
        <v>0.92951541850220265</v>
      </c>
      <c r="C17" s="443">
        <f>IF(ISNUMBER(NºAsuntos!I17/NºAsuntos!G17),NºAsuntos!I17/NºAsuntos!G17," - ")</f>
        <v>0.76303317535545023</v>
      </c>
      <c r="D17" s="444">
        <f>IF(ISNUMBER('Resol  Asuntos'!D17/NºAsuntos!G17),'Resol  Asuntos'!D17/NºAsuntos!G17," - ")</f>
        <v>3.7914691943127965E-2</v>
      </c>
      <c r="E17" s="445">
        <f>IF(ISNUMBER((NºAsuntos!C17+NºAsuntos!E17)/NºAsuntos!G17),(NºAsuntos!C17+NºAsuntos!E17)/NºAsuntos!G17," - ")</f>
        <v>1.7535545023696681</v>
      </c>
      <c r="G17" s="463"/>
    </row>
    <row r="18" spans="1:7" ht="14.25" thickTop="1" thickBot="1">
      <c r="A18" s="848" t="str">
        <f>Datos!A18</f>
        <v>TOTAL</v>
      </c>
      <c r="B18" s="858">
        <f>IF(ISNUMBER(NºAsuntos!G18/NºAsuntos!E18),NºAsuntos!G18/NºAsuntos!E18," - ")</f>
        <v>1.0029673590504451</v>
      </c>
      <c r="C18" s="859">
        <f>IF(ISNUMBER(NºAsuntos!I18/NºAsuntos!G18),NºAsuntos!I18/NºAsuntos!G18," - ")</f>
        <v>0.9505494505494505</v>
      </c>
      <c r="D18" s="862">
        <f>IF(ISNUMBER('Resol  Asuntos'!D18/NºAsuntos!G18),'Resol  Asuntos'!D18/NºAsuntos!G18," - ")</f>
        <v>0.15553677092138632</v>
      </c>
      <c r="E18" s="861">
        <f>IF(ISNUMBER((NºAsuntos!C18+NºAsuntos!E18)/NºAsuntos!G18),(NºAsuntos!C18+NºAsuntos!E18)/NºAsuntos!G18," - ")</f>
        <v>1.9475908706677938</v>
      </c>
      <c r="G18" s="463"/>
    </row>
    <row r="19" spans="1:7" ht="15.75" customHeight="1" thickTop="1" thickBot="1">
      <c r="A19" s="793" t="str">
        <f>Datos!A19</f>
        <v>TOTAL JURISDICCIONES</v>
      </c>
      <c r="B19" s="808">
        <f>IF(ISNUMBER(NºAsuntos!G19/NºAsuntos!E19),NºAsuntos!G19/NºAsuntos!E19," - ")</f>
        <v>0.91429692096489512</v>
      </c>
      <c r="C19" s="809">
        <f>IF(ISNUMBER(NºAsuntos!I19/NºAsuntos!G19),NºAsuntos!I19/NºAsuntos!G19," - ")</f>
        <v>1.4845559845559846</v>
      </c>
      <c r="D19" s="810">
        <f>IF(ISNUMBER('Resol  Asuntos'!D19/NºAsuntos!G19),'Resol  Asuntos'!D19/NºAsuntos!G19," - ")</f>
        <v>0.16881166881166881</v>
      </c>
      <c r="E19" s="811">
        <f>IF(ISNUMBER((NºAsuntos!C19+NºAsuntos!E19)/NºAsuntos!G19),(NºAsuntos!C19+NºAsuntos!E19)/NºAsuntos!G19," - ")</f>
        <v>2.4802659802659801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afia0MqmZzEMb+AV44gDO2MPTQwPeM/wzxwebWqHgPsZEWr3SpsaQWbbJHK3ny0i90kgJgQgb7uAze1akzvAQ==" saltValue="q6j9qy2Q+y7/2yo3mbPB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50</v>
      </c>
      <c r="G10" s="333">
        <f>IF(ISNUMBER(Datos!I10),Datos!I10," - ")</f>
        <v>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8</v>
      </c>
      <c r="Y10" s="334">
        <f t="shared" ref="Y10:Y12" si="0">SUM(W10:X10)</f>
        <v>34</v>
      </c>
      <c r="Z10" s="335" t="str">
        <f>IF(ISNUMBER(Datos!CC10),Datos!CC10," - ")</f>
        <v xml:space="preserve"> - </v>
      </c>
      <c r="AA10" s="332">
        <f>IF(ISNUMBER(Datos!L10),Datos!L10,"-")</f>
        <v>52</v>
      </c>
      <c r="AB10" s="334">
        <f>IF(ISNUMBER(Datos!R10),Datos!R10," - ")</f>
        <v>57</v>
      </c>
      <c r="AC10" s="334">
        <f t="shared" ref="AC10:AC12" si="1">IF(ISNUMBER(AA10+AB10),AA10+AB10," - ")</f>
        <v>109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0.9285714285714286</v>
      </c>
      <c r="AM10" s="260">
        <f>IF(ISNUMBER(((NºAsuntos!I10/NºAsuntos!G10)*11)/factor_trimestre),((NºAsuntos!I10/NºAsuntos!G10)*11)/factor_trimestre," - ")</f>
        <v>6</v>
      </c>
      <c r="AN10" s="244">
        <f>IF(ISNUMBER('Resol  Asuntos'!D10/NºAsuntos!G10),'Resol  Asuntos'!D10/NºAsuntos!G10," - ")</f>
        <v>0.34615384615384615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494</v>
      </c>
      <c r="Y12" s="334">
        <f t="shared" si="0"/>
        <v>494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410</v>
      </c>
      <c r="AJ12" s="229" t="str">
        <f>IF(ISNUMBER(Datos!BW12),Datos!BW12," - ")</f>
        <v xml:space="preserve"> - </v>
      </c>
      <c r="AK12" s="228" t="str">
        <f>IF(ISNUMBER(Datos!BX12),Datos!BX12," - ")</f>
        <v xml:space="preserve"> - </v>
      </c>
      <c r="AL12" s="243">
        <f>IF(ISNUMBER(NºAsuntos!G12/NºAsuntos!E12),NºAsuntos!G12/NºAsuntos!E12," - ")</f>
        <v>0.83702064896755157</v>
      </c>
      <c r="AM12" s="260">
        <f>IF(ISNUMBER(((NºAsuntos!I12/NºAsuntos!G12)*11)/factor_trimestre),((NºAsuntos!I12/NºAsuntos!G12)*11)/factor_trimestre," - ")</f>
        <v>6.105726872246696</v>
      </c>
      <c r="AN12" s="244">
        <f>IF(ISNUMBER('Resol  Asuntos'!D12/NºAsuntos!G12),'Resol  Asuntos'!D12/NºAsuntos!G12," - ")</f>
        <v>0.18061674008810572</v>
      </c>
      <c r="AO12" s="245">
        <f>IF(ISNUMBER((NºAsuntos!C12+NºAsuntos!E12)/NºAsuntos!G12),(NºAsuntos!C12+NºAsuntos!E12)/NºAsuntos!G12," - ")</f>
        <v>3.0295154185022026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50</v>
      </c>
      <c r="G13" s="866">
        <f t="shared" si="3"/>
        <v>50</v>
      </c>
      <c r="H13" s="865">
        <f t="shared" si="3"/>
        <v>0</v>
      </c>
      <c r="I13" s="867">
        <f t="shared" si="3"/>
        <v>0</v>
      </c>
      <c r="J13" s="867">
        <f t="shared" si="3"/>
        <v>0</v>
      </c>
      <c r="K13" s="867">
        <f t="shared" si="3"/>
        <v>0</v>
      </c>
      <c r="L13" s="867">
        <f t="shared" si="3"/>
        <v>486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502</v>
      </c>
      <c r="Y13" s="868">
        <f t="shared" si="4"/>
        <v>528</v>
      </c>
      <c r="Z13" s="868">
        <f t="shared" si="4"/>
        <v>0</v>
      </c>
      <c r="AA13" s="868">
        <f t="shared" si="4"/>
        <v>52</v>
      </c>
      <c r="AB13" s="868">
        <f t="shared" si="4"/>
        <v>6291</v>
      </c>
      <c r="AC13" s="868">
        <f t="shared" si="4"/>
        <v>109</v>
      </c>
      <c r="AD13" s="868">
        <f t="shared" si="4"/>
        <v>0</v>
      </c>
      <c r="AE13" s="872">
        <f t="shared" si="4"/>
        <v>0</v>
      </c>
      <c r="AF13" s="865">
        <f t="shared" si="4"/>
        <v>0</v>
      </c>
      <c r="AG13" s="873">
        <f t="shared" si="4"/>
        <v>0</v>
      </c>
      <c r="AH13" s="870">
        <f t="shared" si="4"/>
        <v>0</v>
      </c>
      <c r="AI13" s="865">
        <f t="shared" si="4"/>
        <v>419</v>
      </c>
      <c r="AJ13" s="867">
        <f t="shared" si="4"/>
        <v>0</v>
      </c>
      <c r="AK13" s="870">
        <f>SUBTOTAL(9,AK9:AK12)</f>
        <v>0</v>
      </c>
      <c r="AL13" s="874">
        <f>IF(ISNUMBER(NºAsuntos!G13/NºAsuntos!E13),NºAsuntos!G13/NºAsuntos!E13," - ")</f>
        <v>0.83795620437956209</v>
      </c>
      <c r="AM13" s="874">
        <f>IF(ISNUMBER(((NºAsuntos!I13/NºAsuntos!G13)*11)/factor_trimestre),((NºAsuntos!I13/NºAsuntos!G13)*11)/factor_trimestre," - ")</f>
        <v>6.10452961672474</v>
      </c>
      <c r="AN13" s="875">
        <f>IF(ISNUMBER('Resol  Asuntos'!D13/NºAsuntos!G13),'Resol  Asuntos'!D13/NºAsuntos!G13," - ")</f>
        <v>0.18249128919860627</v>
      </c>
      <c r="AO13" s="876">
        <f>IF(ISNUMBER((NºAsuntos!C13+NºAsuntos!E13)/NºAsuntos!G13),(NºAsuntos!C13+NºAsuntos!E13)/NºAsuntos!G13," - ")</f>
        <v>3.0291811846689893</v>
      </c>
      <c r="AP13" s="877" t="str">
        <f t="shared" si="2"/>
        <v xml:space="preserve"> - </v>
      </c>
      <c r="AQ13" s="877">
        <f>IF(ISNUMBER((H13-W13+K13)/(F13)),(H13-W13+K13)/(F13)," - ")</f>
        <v>-0.52</v>
      </c>
      <c r="AR13" s="878">
        <f>IF(ISNUMBER((Datos!P13-Datos!Q13)/(Datos!R13-Datos!P13+Datos!Q13)),(Datos!P13-Datos!Q13)/(Datos!R13-Datos!P13+Datos!Q13)," - ")</f>
        <v>-2.5368638021246235E-3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2111</v>
      </c>
      <c r="G16" s="333">
        <f>IF(ISNUMBER(IF(D_I="SI",Datos!I16,Datos!I16+Datos!AC16)),IF(D_I="SI",Datos!I16,Datos!I16+Datos!AC16)," - ")</f>
        <v>2106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2155</v>
      </c>
      <c r="X16" s="226">
        <f>IF(ISNUMBER(Datos!Q16),Datos!Q16," - ")</f>
        <v>185</v>
      </c>
      <c r="Y16" s="334">
        <f t="shared" ref="Y16:Y17" si="7">SUM(W16:X16)</f>
        <v>2340</v>
      </c>
      <c r="Z16" s="335" t="str">
        <f>IF(ISNUMBER(Datos!CC16),Datos!CC16," - ")</f>
        <v xml:space="preserve"> - </v>
      </c>
      <c r="AA16" s="332">
        <f>IF(ISNUMBER(IF(D_I="SI",Datos!L16,Datos!L16+Datos!AF16)),IF(D_I="SI",Datos!L16,Datos!L16+Datos!AF16)," - ")</f>
        <v>2088</v>
      </c>
      <c r="AB16" s="334">
        <f>IF(ISNUMBER(Datos!R16),Datos!R16," - ")</f>
        <v>637</v>
      </c>
      <c r="AC16" s="334">
        <f t="shared" si="6"/>
        <v>2725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360</v>
      </c>
      <c r="AJ16" s="231" t="str">
        <f>IF(ISNUMBER(Datos!BW16),Datos!BW16," - ")</f>
        <v xml:space="preserve"> - </v>
      </c>
      <c r="AK16" s="232" t="str">
        <f>IF(ISNUMBER(Datos!BX16),Datos!BX16," - ")</f>
        <v xml:space="preserve"> - </v>
      </c>
      <c r="AL16" s="243">
        <f>IF(ISNUMBER(NºAsuntos!G16/NºAsuntos!E16),NºAsuntos!G16/NºAsuntos!E16," - ")</f>
        <v>1.0107879924953096</v>
      </c>
      <c r="AM16" s="260">
        <f>IF(ISNUMBER(((NºAsuntos!I16/NºAsuntos!G16)*11)/factor_trimestre),((NºAsuntos!I16/NºAsuntos!G16)*11)/factor_trimestre," - ")</f>
        <v>2.9067285382830628</v>
      </c>
      <c r="AN16" s="244">
        <f>IF(ISNUMBER('Resol  Asuntos'!D16/NºAsuntos!G16),'Resol  Asuntos'!D16/NºAsuntos!G16," - ")</f>
        <v>0.16705336426914152</v>
      </c>
      <c r="AO16" s="245">
        <f>IF(ISNUMBER((NºAsuntos!C16+NºAsuntos!E16)/NºAsuntos!G16),(NºAsuntos!C16+NºAsuntos!E16)/NºAsuntos!G16," - ")</f>
        <v>1.9665893271461716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211</v>
      </c>
      <c r="X17" s="226">
        <f>IF(ISNUMBER(Datos!Q17),Datos!Q17," - ")</f>
        <v>1</v>
      </c>
      <c r="Y17" s="334">
        <f t="shared" si="7"/>
        <v>212</v>
      </c>
      <c r="Z17" s="335" t="str">
        <f>IF(ISNUMBER(Datos!CC17),Datos!CC17," - ")</f>
        <v xml:space="preserve"> - </v>
      </c>
      <c r="AA17" s="332">
        <f>IF(ISNUMBER(Datos!L17),Datos!L17,"-")</f>
        <v>161</v>
      </c>
      <c r="AB17" s="334">
        <f>IF(ISNUMBER(Datos!R17),Datos!R17," - ")</f>
        <v>6</v>
      </c>
      <c r="AC17" s="334">
        <f t="shared" si="6"/>
        <v>167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0.92951541850220265</v>
      </c>
      <c r="AM17" s="260">
        <f>IF(ISNUMBER(((NºAsuntos!I17/NºAsuntos!G17)*11)/factor_trimestre),((NºAsuntos!I17/NºAsuntos!G17)*11)/factor_trimestre," - ")</f>
        <v>2.2890995260663511</v>
      </c>
      <c r="AN17" s="244">
        <f>IF(ISNUMBER('Resol  Asuntos'!D17/NºAsuntos!G17),'Resol  Asuntos'!D17/NºAsuntos!G17," - ")</f>
        <v>3.7914691943127965E-2</v>
      </c>
      <c r="AO17" s="245">
        <f>IF(ISNUMBER((NºAsuntos!C17+NºAsuntos!E17)/NºAsuntos!G17),(NºAsuntos!C17+NºAsuntos!E17)/NºAsuntos!G17," - ")</f>
        <v>1.7535545023696681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2111</v>
      </c>
      <c r="G18" s="866">
        <f>SUBTOTAL(9,G15:G17)</f>
        <v>2249</v>
      </c>
      <c r="H18" s="865">
        <f t="shared" ref="H18:O18" si="10">SUBTOTAL(9,H14:H17)</f>
        <v>0</v>
      </c>
      <c r="I18" s="867">
        <f t="shared" si="10"/>
        <v>0</v>
      </c>
      <c r="J18" s="867">
        <f t="shared" si="10"/>
        <v>0</v>
      </c>
      <c r="K18" s="867">
        <f t="shared" si="10"/>
        <v>0</v>
      </c>
      <c r="L18" s="867">
        <f t="shared" si="10"/>
        <v>217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2366</v>
      </c>
      <c r="X18" s="867">
        <f t="shared" si="11"/>
        <v>186</v>
      </c>
      <c r="Y18" s="868">
        <f t="shared" si="11"/>
        <v>2552</v>
      </c>
      <c r="Z18" s="868">
        <f t="shared" si="11"/>
        <v>0</v>
      </c>
      <c r="AA18" s="868">
        <f t="shared" si="11"/>
        <v>2249</v>
      </c>
      <c r="AB18" s="868">
        <f t="shared" si="11"/>
        <v>643</v>
      </c>
      <c r="AC18" s="868">
        <f t="shared" si="11"/>
        <v>2892</v>
      </c>
      <c r="AD18" s="868">
        <f t="shared" si="11"/>
        <v>0</v>
      </c>
      <c r="AE18" s="872">
        <f t="shared" si="11"/>
        <v>0</v>
      </c>
      <c r="AF18" s="865">
        <f t="shared" si="11"/>
        <v>0</v>
      </c>
      <c r="AG18" s="873">
        <f t="shared" si="11"/>
        <v>0</v>
      </c>
      <c r="AH18" s="870">
        <f t="shared" si="11"/>
        <v>0</v>
      </c>
      <c r="AI18" s="865">
        <f t="shared" si="11"/>
        <v>368</v>
      </c>
      <c r="AJ18" s="867">
        <f t="shared" si="11"/>
        <v>0</v>
      </c>
      <c r="AK18" s="870">
        <f t="shared" si="11"/>
        <v>0</v>
      </c>
      <c r="AL18" s="874">
        <f>IF(ISNUMBER(NºAsuntos!G18/NºAsuntos!E18),NºAsuntos!G18/NºAsuntos!E18," - ")</f>
        <v>1.0029673590504451</v>
      </c>
      <c r="AM18" s="874">
        <f>IF(ISNUMBER(((NºAsuntos!I18/NºAsuntos!G18)*11)/factor_trimestre),((NºAsuntos!I18/NºAsuntos!G18)*11)/factor_trimestre," - ")</f>
        <v>2.8516483516483517</v>
      </c>
      <c r="AN18" s="875">
        <f>IF(ISNUMBER('Resol  Asuntos'!D18/NºAsuntos!G18),'Resol  Asuntos'!D18/NºAsuntos!G18," - ")</f>
        <v>0.15553677092138632</v>
      </c>
      <c r="AO18" s="876">
        <f>IF(ISNUMBER((NºAsuntos!C18+NºAsuntos!E18)/NºAsuntos!G18),(NºAsuntos!C18+NºAsuntos!E18)/NºAsuntos!G18," - ")</f>
        <v>1.9475908706677938</v>
      </c>
      <c r="AP18" s="877" t="str">
        <f t="shared" si="2"/>
        <v xml:space="preserve"> - </v>
      </c>
      <c r="AQ18" s="877">
        <f>IF(ISNUMBER((H18-W18+K18)/(F18)),(H18-W18+K18)/(F18)," - ")</f>
        <v>-1.1207958313595452</v>
      </c>
      <c r="AR18" s="878">
        <f>IF(ISNUMBER((Datos!P18-Datos!Q18)/(Datos!R18-Datos!P18+Datos!Q18)),(Datos!P18-Datos!Q18)/(Datos!R18-Datos!P18+Datos!Q18)," - ")</f>
        <v>5.0653594771241831E-2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2161</v>
      </c>
      <c r="G19" s="821">
        <f t="shared" si="13"/>
        <v>2299</v>
      </c>
      <c r="H19" s="820">
        <f t="shared" si="13"/>
        <v>0</v>
      </c>
      <c r="I19" s="822">
        <f t="shared" si="13"/>
        <v>0</v>
      </c>
      <c r="J19" s="822">
        <f t="shared" si="13"/>
        <v>0</v>
      </c>
      <c r="K19" s="881">
        <f t="shared" si="13"/>
        <v>0</v>
      </c>
      <c r="L19" s="822">
        <f t="shared" si="13"/>
        <v>703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2392</v>
      </c>
      <c r="X19" s="821">
        <f t="shared" si="14"/>
        <v>688</v>
      </c>
      <c r="Y19" s="828">
        <f t="shared" si="14"/>
        <v>3080</v>
      </c>
      <c r="Z19" s="828">
        <f t="shared" si="14"/>
        <v>0</v>
      </c>
      <c r="AA19" s="828">
        <f t="shared" si="14"/>
        <v>2301</v>
      </c>
      <c r="AB19" s="828">
        <f t="shared" si="14"/>
        <v>6934</v>
      </c>
      <c r="AC19" s="828">
        <f t="shared" si="14"/>
        <v>3001</v>
      </c>
      <c r="AD19" s="828">
        <f t="shared" si="14"/>
        <v>0</v>
      </c>
      <c r="AE19" s="830">
        <f t="shared" si="14"/>
        <v>0</v>
      </c>
      <c r="AF19" s="831">
        <f t="shared" si="14"/>
        <v>0</v>
      </c>
      <c r="AG19" s="832">
        <f t="shared" si="14"/>
        <v>0</v>
      </c>
      <c r="AH19" s="830">
        <f t="shared" si="14"/>
        <v>0</v>
      </c>
      <c r="AI19" s="820">
        <f t="shared" si="14"/>
        <v>787</v>
      </c>
      <c r="AJ19" s="820">
        <f t="shared" si="14"/>
        <v>0</v>
      </c>
      <c r="AK19" s="830">
        <f t="shared" si="14"/>
        <v>0</v>
      </c>
      <c r="AL19" s="884">
        <f>IF(ISNUMBER(NºAsuntos!G19/NºAsuntos!E19),NºAsuntos!G19/NºAsuntos!E19," - ")</f>
        <v>0.91429692096489512</v>
      </c>
      <c r="AM19" s="885">
        <f>IF(ISNUMBER(((NºAsuntos!I19/NºAsuntos!G19)*11)/factor_trimestre),((NºAsuntos!I19/NºAsuntos!G19)*11)/factor_trimestre," - ")</f>
        <v>4.4536679536679538</v>
      </c>
      <c r="AN19" s="885">
        <f>IF(ISNUMBER('Resol  Asuntos'!D19/NºAsuntos!G19),'Resol  Asuntos'!D19/NºAsuntos!G19," - ")</f>
        <v>0.16881166881166881</v>
      </c>
      <c r="AO19" s="886">
        <f>IF(ISNUMBER((NºAsuntos!C19+NºAsuntos!E19)/NºAsuntos!G19),(NºAsuntos!C19+NºAsuntos!E19)/NºAsuntos!G19," - ")</f>
        <v>2.4802659802659801</v>
      </c>
      <c r="AP19" s="887" t="str">
        <f t="shared" si="2"/>
        <v xml:space="preserve"> - </v>
      </c>
      <c r="AQ19" s="888">
        <f>IF(OR(ISNUMBER(FIND("01",Criterios!A8,1)),ISNUMBER(FIND("02",Criterios!A8,1)),ISNUMBER(FIND("03",Criterios!A8,1)),ISNUMBER(FIND("04",Criterios!A8,1))),(I19-W19+K19)/(F19-K19),(H19-W19+K19)/(F19-K19))</f>
        <v>-1.106894956038871</v>
      </c>
      <c r="AR19" s="889">
        <f>IF(ISNUMBER((Datos!P19-Datos!Q19)/(Datos!R19-Datos!P19+Datos!Q19)),(Datos!P19-Datos!Q19)/(Datos!R19-Datos!P19+Datos!Q19)," - ")</f>
        <v>2.1679433444139326E-3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1189.9189047998186</v>
      </c>
      <c r="G21" s="253">
        <f>IF(ISNUMBER(STDEV(G8:G18)),STDEV(G8:G18),"-")</f>
        <v>1150.0396949670912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1194.8350095306046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197.94814135693889</v>
      </c>
      <c r="AJ21" s="252">
        <f t="shared" si="18"/>
        <v>0</v>
      </c>
      <c r="AK21" s="254">
        <f t="shared" si="18"/>
        <v>0</v>
      </c>
      <c r="AL21" s="249">
        <f t="shared" si="18"/>
        <v>7.5877447240936105E-2</v>
      </c>
      <c r="AM21" s="250">
        <f t="shared" si="18"/>
        <v>1.8684060239747873</v>
      </c>
      <c r="AN21" s="250">
        <f t="shared" si="18"/>
        <v>9.8539873965015512E-2</v>
      </c>
      <c r="AO21" s="251">
        <f t="shared" si="18"/>
        <v>0.62366812847193065</v>
      </c>
      <c r="AP21" s="291" t="str">
        <f t="shared" si="18"/>
        <v>-</v>
      </c>
      <c r="AQ21" s="292">
        <f t="shared" si="18"/>
        <v>0.42482680646294374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Ijtgw31RSqzWhmmnEQvJp5fONm3Xa8BeDq0xblruvmO1mfwtK2kRColkQYes9nq/QHeGXvczO2he97WSpJYDg==" saltValue="Y+/2xZkzqsQia0my01Wf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ALCORCON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4.1666666666666664E-2</v>
      </c>
      <c r="E10" s="348">
        <f>IF(ISNUMBER((Datos!J10-Datos!T10)/Datos!T10),(Datos!J10-Datos!T10)/Datos!T10," - ")</f>
        <v>0.6470588235294118</v>
      </c>
      <c r="F10" s="348">
        <f>IF(ISNUMBER((Datos!K10-Datos!U10)/Datos!U10),(Datos!K10-Datos!U10)/Datos!U10," - ")</f>
        <v>-0.27777777777777779</v>
      </c>
      <c r="G10" s="349">
        <f>IF(ISNUMBER((Datos!L10-Datos!V10)/Datos!V10),(Datos!L10-Datos!V10)/Datos!V10," - ")</f>
        <v>0.7931034482758621</v>
      </c>
      <c r="H10" s="230">
        <f>IF(ISNUMBER((Datos!M10-Datos!W10)/Datos!W10),(Datos!M10-Datos!W10)/Datos!W10," - ")</f>
        <v>-0.5</v>
      </c>
      <c r="I10" s="350">
        <f>IF(ISNUMBER((Tasas!C10-Datos!BE10)/Datos!BE10),(Tasas!C10-Datos!BE10)/Datos!BE10," - ")</f>
        <v>1.482758620689655</v>
      </c>
      <c r="J10" s="349">
        <f>IF(ISNUMBER((Tasas!D10-Datos!BF10)/Datos!BF10),(Tasas!D10-Datos!BF10)/Datos!BF10," - ")</f>
        <v>-0.30769230769230771</v>
      </c>
      <c r="K10" s="351">
        <f>IF(ISNUMBER((Tasas!E10-Datos!BG10)/Datos!BG10),(Tasas!E10-Datos!BG10)/Datos!BG10," - ")</f>
        <v>0.66153846153846152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0.21661721068249259</v>
      </c>
      <c r="I12" s="350">
        <f>IF(ISNUMBER((Tasas!C12-Datos!BE12)/Datos!BE12),(Tasas!C12-Datos!BE12)/Datos!BE12," - ")</f>
        <v>5.7920182701656719E-2</v>
      </c>
      <c r="J12" s="349">
        <f>IF(ISNUMBER((Tasas!D12-Datos!BF12)/Datos!BF12),(Tasas!D12-Datos!BF12)/Datos!BF12," - ")</f>
        <v>-0.6526458799740017</v>
      </c>
      <c r="K12" s="351">
        <f>IF(ISNUMBER((Tasas!E12-Datos!BG12)/Datos!BG12),(Tasas!E12-Datos!BG12)/Datos!BG12," - ")</f>
        <v>5.9314538101459383E-2</v>
      </c>
      <c r="M12" t="e">
        <f>IF(Monitorios="SI",Datos!CE12,0)</f>
        <v>#REF!</v>
      </c>
      <c r="N12" t="e">
        <f>IF(Monitorios="SI",Datos!CF12,0)</f>
        <v>#REF!</v>
      </c>
      <c r="O12" t="e">
        <f>IF(Monitorios="SI",Datos!CG12,0)</f>
        <v>#REF!</v>
      </c>
      <c r="P12" t="e">
        <f>IF(Monitorios="SI",Datos!CH12,0)</f>
        <v>#REF!</v>
      </c>
      <c r="Q12">
        <f>IF(J_V="SI",0,Datos!AG12)</f>
        <v>207</v>
      </c>
      <c r="R12">
        <f>IF(J_V="SI",0,Datos!AH12)</f>
        <v>163</v>
      </c>
      <c r="S12">
        <f>IF(J_V="SI",0,Datos!AI12)</f>
        <v>199</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0.18028169014084508</v>
      </c>
      <c r="I13" s="357">
        <f>IF(ISNUMBER((Tasas!C13-Datos!BE13)/Datos!BE13),(Tasas!C13-Datos!BE13)/Datos!BE13," - ")</f>
        <v>6.9410728644178146E-2</v>
      </c>
      <c r="J13" s="355">
        <f>IF(ISNUMBER((Tasas!D13-Datos!BF13)/Datos!BF13),(Tasas!D13-Datos!BF13)/Datos!BF13," - ")</f>
        <v>-0.64878688507350735</v>
      </c>
      <c r="K13" s="358">
        <f>IF(ISNUMBER((Tasas!E13-Datos!BG13)/Datos!BG13),(Tasas!E13-Datos!BG13)/Datos!BG13," - ")</f>
        <v>6.6597387497105962E-2</v>
      </c>
      <c r="M13" t="e">
        <f>IF(Monitorios="SI",Datos!CE13,0)</f>
        <v>#REF!</v>
      </c>
      <c r="N13" t="e">
        <f>IF(Monitorios="SI",Datos!CF13,0)</f>
        <v>#REF!</v>
      </c>
      <c r="O13" t="e">
        <f>IF(Monitorios="SI",Datos!CG13,0)</f>
        <v>#REF!</v>
      </c>
      <c r="P13" t="e">
        <f>IF(Monitorios="SI",Datos!CH13,0)</f>
        <v>#REF!</v>
      </c>
      <c r="Q13">
        <f>IF(J_V="SI",0,Datos!AG13)</f>
        <v>207</v>
      </c>
      <c r="R13">
        <f>IF(J_V="SI",0,Datos!AH13)</f>
        <v>163</v>
      </c>
      <c r="S13">
        <f>IF(J_V="SI",0,Datos!AI13)</f>
        <v>199</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0.36222509702457956</v>
      </c>
      <c r="E16" s="348">
        <f>IF(ISNUMBER(
   IF(D_I="SI",(Datos!J16-Datos!T16)/Datos!T16,(Datos!J16+Datos!AD16-(Datos!T16+Datos!AL16))/(Datos!T16+Datos!AL16))
     ),IF(D_I="SI",(Datos!J16-Datos!T16)/Datos!T16,(Datos!J16+Datos!AD16-(Datos!T16+Datos!AL16))/(Datos!T16+Datos!AL16))," - ")</f>
        <v>3.8480272771553824E-2</v>
      </c>
      <c r="F16" s="348">
        <f>IF(ISNUMBER(
   IF(D_I="SI",(Datos!K16-Datos!U16)/Datos!U16,(Datos!K16+Datos!AE16-(Datos!U16+Datos!AM16))/(Datos!U16+Datos!AM16))
     ),IF(D_I="SI",(Datos!K16-Datos!U16)/Datos!U16,(Datos!K16+Datos!AE16-(Datos!U16+Datos!AM16))/(Datos!U16+Datos!AM16))," - ")</f>
        <v>0.10173824130879346</v>
      </c>
      <c r="G16" s="349">
        <f>IF(ISNUMBER(
   IF(D_I="SI",(Datos!L16-Datos!V16)/Datos!V16,(Datos!L16+Datos!AF16-(Datos!V16+Datos!AN16))/(Datos!V16+Datos!AN16))
     ),IF(D_I="SI",(Datos!L16-Datos!V16)/Datos!V16,(Datos!L16+Datos!AF16-(Datos!V16+Datos!AN16))/(Datos!V16+Datos!AN16))," - ")</f>
        <v>0.22679200940070504</v>
      </c>
      <c r="H16" s="230">
        <f>IF(ISNUMBER((Datos!M16-Datos!W16)/Datos!W16),(Datos!M16-Datos!W16)/Datos!W16," - ")</f>
        <v>6.8249258160237386E-2</v>
      </c>
      <c r="I16" s="350">
        <f>IF(ISNUMBER((Tasas!C16-Datos!BE16)/Datos!BE16),(Tasas!C16-Datos!BE16)/Datos!BE16," - ")</f>
        <v>0.11350587953029187</v>
      </c>
      <c r="J16" s="349">
        <f>IF(ISNUMBER((Tasas!D16-Datos!BF16)/Datos!BF16),(Tasas!D16-Datos!BF16)/Datos!BF16," - ")</f>
        <v>-3.0396497001659258E-2</v>
      </c>
      <c r="K16" s="351">
        <f>IF(ISNUMBER((Tasas!E16-Datos!BG16)/Datos!BG16),(Tasas!E16-Datos!BG16)/Datos!BG16," - ")</f>
        <v>6.8810426201142416E-2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0.16260162601626016</v>
      </c>
      <c r="E17" s="348">
        <f>IF(ISNUMBER(
   IF(D_I="SI",(Datos!J17-Datos!T17)/Datos!T17,(Datos!J17+Datos!AD17-(Datos!T17+Datos!AL17))/(Datos!T17+Datos!AL17))
     ),IF(D_I="SI",(Datos!J17-Datos!T17)/Datos!T17,(Datos!J17+Datos!AD17-(Datos!T17+Datos!AL17))/(Datos!T17+Datos!AL17))," - ")</f>
        <v>0.18229166666666666</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0.49074074074074076</v>
      </c>
      <c r="H17" s="230">
        <f>IF(ISNUMBER((Datos!M17-Datos!W17)/Datos!W17),(Datos!M17-Datos!W17)/Datos!W17," - ")</f>
        <v>-0.2</v>
      </c>
      <c r="I17" s="350">
        <f>IF(ISNUMBER((Tasas!C17-Datos!BE17)/Datos!BE17),(Tasas!C17-Datos!BE17)/Datos!BE17," - ")</f>
        <v>0.49074074074074087</v>
      </c>
      <c r="J17" s="349">
        <f>IF(ISNUMBER((Tasas!D17-Datos!BF17)/Datos!BF17),(Tasas!D17-Datos!BF17)/Datos!BF17," - ")</f>
        <v>-0.19999999999999987</v>
      </c>
      <c r="K17" s="351">
        <f>IF(ISNUMBER((Tasas!E17-Datos!BG17)/Datos!BG17),(Tasas!E17-Datos!BG17)/Datos!BG17," - ")</f>
        <v>0.17460317460317454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0.347513481126423</v>
      </c>
      <c r="E18" s="354">
        <f>IF(ISNUMBER(
   IF(D_I="SI",(Datos!J18-Datos!T18)/Datos!T18,(Datos!J18+Datos!AD18-(Datos!T18+Datos!AL18))/(Datos!T18+Datos!AL18))
     ),IF(D_I="SI",(Datos!J18-Datos!T18)/Datos!T18,(Datos!J18+Datos!AD18-(Datos!T18+Datos!AL18))/(Datos!T18+Datos!AL18))," - ")</f>
        <v>5.0779510022271712E-2</v>
      </c>
      <c r="F18" s="354">
        <f>IF(ISNUMBER(
   IF(D_I="SI",(Datos!K18-Datos!U18)/Datos!U18,(Datos!K18+Datos!AE18-(Datos!U18+Datos!AM18))/(Datos!U18+Datos!AM18))
     ),IF(D_I="SI",(Datos!K18-Datos!U18)/Datos!U18,(Datos!K18+Datos!AE18-(Datos!U18+Datos!AM18))/(Datos!U18+Datos!AM18))," - ")</f>
        <v>9.183202584217813E-2</v>
      </c>
      <c r="G18" s="355">
        <f>IF(ISNUMBER(
   IF(D_I="SI",(Datos!L18-Datos!V18)/Datos!V18,(Datos!L18+Datos!AF18-(Datos!V18+Datos!AN18))/(Datos!V18+Datos!AN18))
     ),IF(D_I="SI",(Datos!L18-Datos!V18)/Datos!V18,(Datos!L18+Datos!AF18-(Datos!V18+Datos!AN18))/(Datos!V18+Datos!AN18))," - ")</f>
        <v>0.24254143646408841</v>
      </c>
      <c r="H18" s="356">
        <f>IF(ISNUMBER((Datos!M18-Datos!W18)/Datos!W18),(Datos!M18-Datos!W18)/Datos!W18," - ")</f>
        <v>6.0518731988472622E-2</v>
      </c>
      <c r="I18" s="357">
        <f>IF(ISNUMBER((Tasas!C18-Datos!BE18)/Datos!BE18),(Tasas!C18-Datos!BE18)/Datos!BE18," - ")</f>
        <v>0.13803351344787809</v>
      </c>
      <c r="J18" s="355">
        <f>IF(ISNUMBER((Tasas!D18-Datos!BF18)/Datos!BF18),(Tasas!D18-Datos!BF18)/Datos!BF18," - ")</f>
        <v>-2.8679589087480768E-2</v>
      </c>
      <c r="K18" s="358">
        <f>IF(ISNUMBER((Tasas!E18-Datos!BG18)/Datos!BG18),(Tasas!E18-Datos!BG18)/Datos!BG18," - ")</f>
        <v>7.8290602130073855E-2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0.27194018103109013</v>
      </c>
      <c r="E19" s="363">
        <f>IF(ISNUMBER(
   IF(J_V="SI",(Datos!J19-Datos!T19)/Datos!T19,(Datos!J19+Datos!Z19-(Datos!T19+Datos!AH19))/(Datos!T19+Datos!AH19))
     ),IF(J_V="SI",(Datos!J19-Datos!T19)/Datos!T19,(Datos!J19+Datos!Z19-(Datos!T19+Datos!AH19))/(Datos!T19+Datos!AH19))," - ")</f>
        <v>0.19554513481828839</v>
      </c>
      <c r="F19" s="363">
        <f>IF(ISNUMBER(
   IF(J_V="SI",(Datos!K19-Datos!U19)/Datos!U19,(Datos!K19+Datos!AA19-(Datos!U19+Datos!AI19))/(Datos!U19+Datos!AI19))
     ),IF(J_V="SI",(Datos!K19-Datos!U19)/Datos!U19,(Datos!K19+Datos!AA19-(Datos!U19+Datos!AI19))/(Datos!U19+Datos!AI19))," - ")</f>
        <v>0.1426470588235294</v>
      </c>
      <c r="G19" s="364">
        <f>IF(ISNUMBER(
   IF(J_V="SI",(Datos!L19-Datos!V19)/Datos!V19,(Datos!L19+Datos!AB19-(Datos!V19+Datos!AJ19))/(Datos!V19+Datos!AJ19))
     ),IF(J_V="SI",(Datos!L19-Datos!V19)/Datos!V19,(Datos!L19+Datos!AB19-(Datos!V19+Datos!AJ19))/(Datos!V19+Datos!AJ19))," - ")</f>
        <v>0.26990825688073394</v>
      </c>
      <c r="H19" s="365">
        <f>IF(ISNUMBER((Datos!M19-Datos!W19)/Datos!W19),(Datos!M19-Datos!W19)/Datos!W19," - ")</f>
        <v>0.12108262108262108</v>
      </c>
      <c r="I19" s="362">
        <f>IF(ISNUMBER((Tasas!C19-Datos!BE19)/Datos!BE19),(Tasas!C19-Datos!BE19)/Datos!BE19," - ")</f>
        <v>0.11137402146576468</v>
      </c>
      <c r="J19" s="363">
        <f>IF(ISNUMBER((Tasas!D19-Datos!BF19)/Datos!BF19),(Tasas!D19-Datos!BF19)/Datos!BF19," - ")</f>
        <v>-0.48638955350364743</v>
      </c>
      <c r="K19" s="364">
        <f>IF(ISNUMBER((Tasas!E19-Datos!BG19)/Datos!BG19),(Tasas!E19-Datos!BG19)/Datos!BG19," - ")</f>
        <v>8.2645255107007431E-2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0.15415998225912997</v>
      </c>
      <c r="E21" s="278">
        <f t="shared" si="1"/>
        <v>0.28578165001938471</v>
      </c>
      <c r="F21" s="278">
        <f t="shared" si="1"/>
        <v>0.17717369850945175</v>
      </c>
      <c r="G21" s="279">
        <f t="shared" si="1"/>
        <v>0.26563920604071584</v>
      </c>
      <c r="H21" s="285">
        <f t="shared" si="1"/>
        <v>0.27301268948808699</v>
      </c>
      <c r="I21" s="277">
        <f t="shared" si="1"/>
        <v>0.55807440247034579</v>
      </c>
      <c r="J21" s="278">
        <f t="shared" si="1"/>
        <v>0.28340647863283946</v>
      </c>
      <c r="K21" s="279">
        <f t="shared" si="1"/>
        <v>0.23744464905219503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khiz/O+CoXykoK0UKtS5GCDmwX9PC5wBmHqGxlyB8sXbmll8+rkKiRA904e5eDNF5+g+g/RBqoU6on77NBDDA==" saltValue="UCUv6mM/UTPDkCM/h9wZ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